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6 PLANTILLA Y TABULADOR\"/>
    </mc:Choice>
  </mc:AlternateContent>
  <bookViews>
    <workbookView xWindow="0" yWindow="0" windowWidth="12120" windowHeight="10860"/>
  </bookViews>
  <sheets>
    <sheet name="01 PRESIDENCIA" sheetId="1" r:id="rId1"/>
    <sheet name="02 REGIDORES" sheetId="2" r:id="rId2"/>
    <sheet name="03 SINDICATURA" sheetId="3" r:id="rId3"/>
    <sheet name="04 TESORERIA" sheetId="4" r:id="rId4"/>
    <sheet name="05 CONTRALORIA" sheetId="5" r:id="rId5"/>
    <sheet name="06 SECRETARIA" sheetId="6" r:id="rId6"/>
    <sheet name="07 OFICIALIA MAYOR" sheetId="7" r:id="rId7"/>
    <sheet name="08 RECURSOS HUMANOS " sheetId="8" r:id="rId8"/>
    <sheet name="09 CULTURA" sheetId="9" r:id="rId9"/>
    <sheet name="10 DIF" sheetId="10" r:id="rId10"/>
    <sheet name="11 OBRAS PUBLICAS" sheetId="11" r:id="rId11"/>
    <sheet name="MEDIO AMBIENTE PROT ANIMAL" sheetId="18" r:id="rId12"/>
    <sheet name="12 SEGURIDAD PUBLICA " sheetId="12" r:id="rId13"/>
    <sheet name="13 BIEN COMUN" sheetId="13" r:id="rId14"/>
    <sheet name="14 INSTANCIA DE LA MUJER" sheetId="14" r:id="rId15"/>
    <sheet name="15 JUVENTUD Y DEPORTE" sheetId="15" r:id="rId16"/>
    <sheet name="16 EDUACION" sheetId="16" r:id="rId17"/>
  </sheets>
  <definedNames>
    <definedName name="_xlnm.Print_Area" localSheetId="0">'01 PRESIDENCIA'!$A$45:$M$62</definedName>
    <definedName name="_xlnm.Print_Area" localSheetId="1">'02 REGIDORES'!$A$27:$M$43</definedName>
    <definedName name="_xlnm.Print_Area" localSheetId="2">'03 SINDICATURA'!$A$1:$N$22</definedName>
    <definedName name="_xlnm.Print_Area" localSheetId="3">'04 TESORERIA'!$A$1:$M$25</definedName>
    <definedName name="_xlnm.Print_Area" localSheetId="4">'05 CONTRALORIA'!$A$1:$M$21</definedName>
    <definedName name="_xlnm.Print_Area" localSheetId="5">'06 SECRETARIA'!$A$26:$M$44</definedName>
    <definedName name="_xlnm.Print_Area" localSheetId="6">'07 OFICIALIA MAYOR'!$A$40:$M$62</definedName>
    <definedName name="_xlnm.Print_Area" localSheetId="7">'08 RECURSOS HUMANOS '!$A$1:$M$17</definedName>
    <definedName name="_xlnm.Print_Area" localSheetId="8">'09 CULTURA'!$A$1:$M$21</definedName>
    <definedName name="_xlnm.Print_Area" localSheetId="9">'10 DIF'!$A$29:$M$54</definedName>
    <definedName name="_xlnm.Print_Area" localSheetId="10">'11 OBRAS PUBLICAS'!#REF!</definedName>
    <definedName name="_xlnm.Print_Area" localSheetId="12">'12 SEGURIDAD PUBLICA '!$A$80:$M$105</definedName>
    <definedName name="_xlnm.Print_Area" localSheetId="13">'13 BIEN COMUN'!$A$1:$M$20</definedName>
    <definedName name="_xlnm.Print_Area" localSheetId="14">'14 INSTANCIA DE LA MUJER'!$A$1:$M$18</definedName>
    <definedName name="_xlnm.Print_Area" localSheetId="15">'15 JUVENTUD Y DEPORTE'!$A$1:$M$17</definedName>
    <definedName name="_xlnm.Print_Area" localSheetId="16">'16 EDUACION'!$A$1:$M$17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1" l="1"/>
  <c r="M9" i="6" l="1"/>
  <c r="E15" i="5"/>
  <c r="G16" i="5"/>
  <c r="H16" i="5"/>
  <c r="I16" i="5"/>
  <c r="I15" i="5" s="1"/>
  <c r="L15" i="5"/>
  <c r="M15" i="5"/>
  <c r="K16" i="3"/>
  <c r="M16" i="3"/>
  <c r="N16" i="3"/>
  <c r="E16" i="3"/>
  <c r="M35" i="1"/>
  <c r="J16" i="3" l="1"/>
  <c r="I16" i="3"/>
  <c r="H16" i="3"/>
  <c r="F16" i="3"/>
  <c r="E17" i="3"/>
  <c r="J18" i="18" l="1"/>
  <c r="I18" i="18"/>
  <c r="H18" i="18"/>
  <c r="L17" i="18"/>
  <c r="L18" i="18" s="1"/>
  <c r="K17" i="18"/>
  <c r="K18" i="18" s="1"/>
  <c r="J17" i="18"/>
  <c r="I17" i="18"/>
  <c r="H17" i="18"/>
  <c r="F17" i="18"/>
  <c r="F18" i="18" s="1"/>
  <c r="E17" i="18"/>
  <c r="E18" i="18" s="1"/>
  <c r="M15" i="18"/>
  <c r="M17" i="18" s="1"/>
  <c r="M18" i="18" s="1"/>
  <c r="I15" i="18"/>
  <c r="G15" i="18"/>
  <c r="G18" i="18" s="1"/>
  <c r="M13" i="5"/>
  <c r="I13" i="5"/>
  <c r="G13" i="5"/>
  <c r="G17" i="18" l="1"/>
  <c r="E38" i="6"/>
  <c r="E39" i="6"/>
  <c r="E14" i="6"/>
  <c r="E18" i="11"/>
  <c r="E19" i="11" s="1"/>
  <c r="E19" i="4" l="1"/>
  <c r="E20" i="4"/>
  <c r="F19" i="4"/>
  <c r="F20" i="4" s="1"/>
  <c r="G20" i="4"/>
  <c r="G19" i="4"/>
  <c r="E17" i="2" l="1"/>
  <c r="G15" i="2"/>
  <c r="F18" i="11" l="1"/>
  <c r="F19" i="11" s="1"/>
  <c r="E49" i="10"/>
  <c r="E48" i="10"/>
  <c r="E15" i="9"/>
  <c r="E16" i="9"/>
  <c r="E31" i="7"/>
  <c r="E18" i="2"/>
  <c r="M36" i="1"/>
  <c r="E35" i="1"/>
  <c r="E36" i="1"/>
  <c r="E16" i="1"/>
  <c r="E15" i="1"/>
  <c r="M9" i="14"/>
  <c r="I9" i="14"/>
  <c r="G9" i="14"/>
  <c r="M11" i="11"/>
  <c r="M9" i="2"/>
  <c r="G19" i="7"/>
  <c r="M25" i="7"/>
  <c r="I25" i="7"/>
  <c r="G25" i="7"/>
  <c r="M16" i="5"/>
  <c r="L16" i="5"/>
  <c r="G15" i="5"/>
  <c r="M19" i="4"/>
  <c r="L19" i="4"/>
  <c r="K19" i="4"/>
  <c r="K20" i="4"/>
  <c r="I20" i="4"/>
  <c r="H19" i="4"/>
  <c r="I70" i="12"/>
  <c r="G70" i="12"/>
  <c r="E69" i="12"/>
  <c r="E70" i="12"/>
  <c r="F70" i="12"/>
  <c r="G69" i="12"/>
  <c r="F17" i="2"/>
  <c r="F17" i="4"/>
  <c r="F15" i="4"/>
  <c r="F14" i="4"/>
  <c r="F11" i="4"/>
  <c r="F10" i="4"/>
  <c r="F9" i="4"/>
  <c r="L15" i="9" l="1"/>
  <c r="L16" i="9" s="1"/>
  <c r="I16" i="9"/>
  <c r="H16" i="9"/>
  <c r="G16" i="9"/>
  <c r="G15" i="9"/>
  <c r="E12" i="16" l="1"/>
  <c r="M9" i="7" l="1"/>
  <c r="I9" i="7"/>
  <c r="G9" i="7"/>
  <c r="M48" i="7"/>
  <c r="M12" i="5" l="1"/>
  <c r="M11" i="1" l="1"/>
  <c r="M9" i="1"/>
  <c r="G90" i="12" l="1"/>
  <c r="I90" i="12" s="1"/>
  <c r="M46" i="10"/>
  <c r="I46" i="10"/>
  <c r="G46" i="10"/>
  <c r="M45" i="10"/>
  <c r="I45" i="10"/>
  <c r="G45" i="10"/>
  <c r="M44" i="10"/>
  <c r="I44" i="10"/>
  <c r="G44" i="10"/>
  <c r="M38" i="10"/>
  <c r="I38" i="10"/>
  <c r="G38" i="10"/>
  <c r="M15" i="11"/>
  <c r="I15" i="11"/>
  <c r="G15" i="11"/>
  <c r="M43" i="10"/>
  <c r="I43" i="10"/>
  <c r="G43" i="10"/>
  <c r="E14" i="13"/>
  <c r="E15" i="13" s="1"/>
  <c r="E13" i="3"/>
  <c r="H13" i="3" s="1"/>
  <c r="L14" i="6"/>
  <c r="L15" i="6" s="1"/>
  <c r="I15" i="6"/>
  <c r="H15" i="6"/>
  <c r="G15" i="6"/>
  <c r="K14" i="6"/>
  <c r="M14" i="6"/>
  <c r="M12" i="6"/>
  <c r="I12" i="6"/>
  <c r="G12" i="6"/>
  <c r="I15" i="13"/>
  <c r="I14" i="13"/>
  <c r="M14" i="13"/>
  <c r="M15" i="13" s="1"/>
  <c r="K14" i="13"/>
  <c r="L14" i="13"/>
  <c r="H15" i="13"/>
  <c r="G15" i="13"/>
  <c r="G14" i="13" s="1"/>
  <c r="M12" i="13"/>
  <c r="I12" i="13"/>
  <c r="G12" i="13"/>
  <c r="M43" i="12"/>
  <c r="E41" i="12"/>
  <c r="M41" i="12" s="1"/>
  <c r="G41" i="12"/>
  <c r="I41" i="12"/>
  <c r="F31" i="7"/>
  <c r="H31" i="7"/>
  <c r="L31" i="7"/>
  <c r="M31" i="7"/>
  <c r="L11" i="8"/>
  <c r="L12" i="8" s="1"/>
  <c r="K56" i="7"/>
  <c r="K57" i="7" s="1"/>
  <c r="L56" i="7"/>
  <c r="L57" i="7" s="1"/>
  <c r="M56" i="7"/>
  <c r="E56" i="7"/>
  <c r="E57" i="7" s="1"/>
  <c r="K11" i="8"/>
  <c r="H12" i="8"/>
  <c r="E9" i="8"/>
  <c r="I9" i="8" s="1"/>
  <c r="I12" i="8" s="1"/>
  <c r="G48" i="7"/>
  <c r="I48" i="7"/>
  <c r="G49" i="7"/>
  <c r="I49" i="7"/>
  <c r="M49" i="7"/>
  <c r="G50" i="7"/>
  <c r="I50" i="7"/>
  <c r="I57" i="7" s="1"/>
  <c r="M50" i="7"/>
  <c r="G51" i="7"/>
  <c r="I51" i="7"/>
  <c r="M51" i="7"/>
  <c r="G52" i="7"/>
  <c r="I52" i="7"/>
  <c r="M52" i="7"/>
  <c r="G53" i="7"/>
  <c r="I53" i="7"/>
  <c r="M53" i="7"/>
  <c r="G54" i="7"/>
  <c r="I54" i="7"/>
  <c r="M54" i="7"/>
  <c r="F56" i="7"/>
  <c r="H56" i="7"/>
  <c r="J56" i="7"/>
  <c r="F57" i="7"/>
  <c r="H57" i="7"/>
  <c r="J57" i="7"/>
  <c r="F32" i="7"/>
  <c r="J31" i="7"/>
  <c r="J32" i="7" s="1"/>
  <c r="K31" i="7"/>
  <c r="H32" i="7"/>
  <c r="M29" i="7"/>
  <c r="I29" i="7"/>
  <c r="G29" i="7"/>
  <c r="M28" i="7"/>
  <c r="I28" i="7"/>
  <c r="G28" i="7"/>
  <c r="M27" i="7"/>
  <c r="I27" i="7"/>
  <c r="M26" i="7"/>
  <c r="I26" i="7"/>
  <c r="G26" i="7"/>
  <c r="M24" i="7"/>
  <c r="I24" i="7"/>
  <c r="G24" i="7"/>
  <c r="M23" i="7"/>
  <c r="I23" i="7"/>
  <c r="G23" i="7"/>
  <c r="M22" i="7"/>
  <c r="I22" i="7"/>
  <c r="G22" i="7"/>
  <c r="M21" i="7"/>
  <c r="I21" i="7"/>
  <c r="G21" i="7"/>
  <c r="M20" i="7"/>
  <c r="I20" i="7"/>
  <c r="G20" i="7"/>
  <c r="I19" i="7"/>
  <c r="I31" i="7" s="1"/>
  <c r="G31" i="7"/>
  <c r="M18" i="7"/>
  <c r="I18" i="7"/>
  <c r="G18" i="7"/>
  <c r="M17" i="7"/>
  <c r="I17" i="7"/>
  <c r="G17" i="7"/>
  <c r="M16" i="7"/>
  <c r="I16" i="7"/>
  <c r="G16" i="7"/>
  <c r="M15" i="7"/>
  <c r="I15" i="7"/>
  <c r="G15" i="7"/>
  <c r="M34" i="6"/>
  <c r="I34" i="6"/>
  <c r="G34" i="6"/>
  <c r="E11" i="8" l="1"/>
  <c r="E12" i="8" s="1"/>
  <c r="N13" i="3"/>
  <c r="J13" i="3"/>
  <c r="G57" i="7"/>
  <c r="M9" i="8"/>
  <c r="M11" i="8" s="1"/>
  <c r="G9" i="8"/>
  <c r="G56" i="7"/>
  <c r="M57" i="7"/>
  <c r="I56" i="7"/>
  <c r="G23" i="16"/>
  <c r="G12" i="8" l="1"/>
  <c r="G11" i="8"/>
  <c r="H12" i="16"/>
  <c r="H11" i="16" s="1"/>
  <c r="F12" i="16"/>
  <c r="L11" i="16"/>
  <c r="L12" i="16" s="1"/>
  <c r="K11" i="16"/>
  <c r="K12" i="16" s="1"/>
  <c r="J11" i="16"/>
  <c r="J12" i="16" s="1"/>
  <c r="F11" i="16"/>
  <c r="E11" i="16"/>
  <c r="M9" i="16"/>
  <c r="M11" i="16" s="1"/>
  <c r="M12" i="16" s="1"/>
  <c r="I9" i="16"/>
  <c r="G9" i="16"/>
  <c r="H12" i="15"/>
  <c r="H11" i="15" s="1"/>
  <c r="L11" i="15"/>
  <c r="L12" i="15" s="1"/>
  <c r="K11" i="15"/>
  <c r="K12" i="15" s="1"/>
  <c r="J11" i="15"/>
  <c r="J12" i="15" s="1"/>
  <c r="F11" i="15"/>
  <c r="F12" i="15" s="1"/>
  <c r="E11" i="15"/>
  <c r="E12" i="15" s="1"/>
  <c r="M9" i="15"/>
  <c r="M11" i="15" s="1"/>
  <c r="M12" i="15" s="1"/>
  <c r="I9" i="15"/>
  <c r="G9" i="15"/>
  <c r="G12" i="16" l="1"/>
  <c r="G11" i="16" s="1"/>
  <c r="G12" i="15"/>
  <c r="G11" i="15" s="1"/>
  <c r="I12" i="16"/>
  <c r="I11" i="16" s="1"/>
  <c r="I12" i="15"/>
  <c r="I11" i="15" s="1"/>
  <c r="M58" i="12"/>
  <c r="L12" i="14"/>
  <c r="L13" i="14" s="1"/>
  <c r="M10" i="14"/>
  <c r="M12" i="14"/>
  <c r="M13" i="14" s="1"/>
  <c r="K13" i="14"/>
  <c r="H13" i="14"/>
  <c r="H12" i="14" s="1"/>
  <c r="K12" i="14"/>
  <c r="J12" i="14"/>
  <c r="J13" i="14" s="1"/>
  <c r="F12" i="14"/>
  <c r="F13" i="14" s="1"/>
  <c r="E12" i="14"/>
  <c r="E13" i="14" s="1"/>
  <c r="I10" i="14"/>
  <c r="G10" i="14"/>
  <c r="I13" i="14"/>
  <c r="I12" i="14" s="1"/>
  <c r="G13" i="14"/>
  <c r="G12" i="14" s="1"/>
  <c r="K15" i="13"/>
  <c r="M10" i="13"/>
  <c r="M9" i="13"/>
  <c r="H14" i="13"/>
  <c r="L15" i="13"/>
  <c r="J14" i="13"/>
  <c r="J15" i="13" s="1"/>
  <c r="F14" i="13"/>
  <c r="F15" i="13" s="1"/>
  <c r="E11" i="13"/>
  <c r="I11" i="13" s="1"/>
  <c r="I10" i="13"/>
  <c r="G10" i="13"/>
  <c r="I9" i="13"/>
  <c r="G9" i="13"/>
  <c r="K99" i="12"/>
  <c r="K100" i="12" s="1"/>
  <c r="L99" i="12"/>
  <c r="M90" i="12"/>
  <c r="M91" i="12"/>
  <c r="M92" i="12"/>
  <c r="M93" i="12"/>
  <c r="M94" i="12"/>
  <c r="M95" i="12"/>
  <c r="M96" i="12"/>
  <c r="M97" i="12"/>
  <c r="K69" i="12"/>
  <c r="K70" i="12" s="1"/>
  <c r="L69" i="12"/>
  <c r="L70" i="12" s="1"/>
  <c r="M66" i="12"/>
  <c r="M61" i="12"/>
  <c r="E59" i="12"/>
  <c r="K43" i="12"/>
  <c r="K44" i="12" s="1"/>
  <c r="L43" i="12"/>
  <c r="L44" i="12" s="1"/>
  <c r="M12" i="12"/>
  <c r="M14" i="12"/>
  <c r="M18" i="12"/>
  <c r="M21" i="12"/>
  <c r="M25" i="12"/>
  <c r="M26" i="12"/>
  <c r="M30" i="12"/>
  <c r="M35" i="12"/>
  <c r="M38" i="12"/>
  <c r="M9" i="12"/>
  <c r="H100" i="12"/>
  <c r="H99" i="12" s="1"/>
  <c r="L100" i="12"/>
  <c r="G97" i="12"/>
  <c r="I97" i="12" s="1"/>
  <c r="G96" i="12"/>
  <c r="I96" i="12" s="1"/>
  <c r="G95" i="12"/>
  <c r="I95" i="12" s="1"/>
  <c r="G94" i="12"/>
  <c r="I94" i="12" s="1"/>
  <c r="G93" i="12"/>
  <c r="I93" i="12" s="1"/>
  <c r="G92" i="12"/>
  <c r="I92" i="12" s="1"/>
  <c r="G91" i="12"/>
  <c r="I91" i="12" s="1"/>
  <c r="E89" i="12"/>
  <c r="G89" i="12" s="1"/>
  <c r="I89" i="12" s="1"/>
  <c r="E88" i="12"/>
  <c r="G88" i="12" s="1"/>
  <c r="H70" i="12"/>
  <c r="H69" i="12" s="1"/>
  <c r="F69" i="12"/>
  <c r="G66" i="12"/>
  <c r="I66" i="12" s="1"/>
  <c r="E66" i="12"/>
  <c r="E65" i="12"/>
  <c r="M65" i="12" s="1"/>
  <c r="E64" i="12"/>
  <c r="I64" i="12" s="1"/>
  <c r="E63" i="12"/>
  <c r="I63" i="12" s="1"/>
  <c r="E62" i="12"/>
  <c r="G62" i="12" s="1"/>
  <c r="I62" i="12" s="1"/>
  <c r="E61" i="12"/>
  <c r="E60" i="12"/>
  <c r="G60" i="12" s="1"/>
  <c r="I60" i="12" s="1"/>
  <c r="G58" i="12"/>
  <c r="H44" i="12"/>
  <c r="J43" i="12"/>
  <c r="J44" i="12" s="1"/>
  <c r="H43" i="12"/>
  <c r="F43" i="12"/>
  <c r="F44" i="12" s="1"/>
  <c r="E40" i="12"/>
  <c r="M40" i="12" s="1"/>
  <c r="E39" i="12"/>
  <c r="M39" i="12" s="1"/>
  <c r="E38" i="12"/>
  <c r="G38" i="12" s="1"/>
  <c r="E37" i="12"/>
  <c r="I37" i="12" s="1"/>
  <c r="I36" i="12"/>
  <c r="G36" i="12"/>
  <c r="E36" i="12"/>
  <c r="M36" i="12" s="1"/>
  <c r="E35" i="12"/>
  <c r="E34" i="12"/>
  <c r="I34" i="12" s="1"/>
  <c r="E33" i="12"/>
  <c r="E32" i="12"/>
  <c r="M32" i="12" s="1"/>
  <c r="E31" i="12"/>
  <c r="M31" i="12" s="1"/>
  <c r="I30" i="12"/>
  <c r="G30" i="12"/>
  <c r="E29" i="12"/>
  <c r="E28" i="12"/>
  <c r="M28" i="12" s="1"/>
  <c r="E27" i="12"/>
  <c r="M27" i="12" s="1"/>
  <c r="E26" i="12"/>
  <c r="I25" i="12"/>
  <c r="E25" i="12"/>
  <c r="G25" i="12" s="1"/>
  <c r="E24" i="12"/>
  <c r="G24" i="12" s="1"/>
  <c r="E23" i="12"/>
  <c r="M23" i="12" s="1"/>
  <c r="E22" i="12"/>
  <c r="G22" i="12" s="1"/>
  <c r="E21" i="12"/>
  <c r="G21" i="12" s="1"/>
  <c r="E20" i="12"/>
  <c r="G20" i="12" s="1"/>
  <c r="E19" i="12"/>
  <c r="M19" i="12" s="1"/>
  <c r="E18" i="12"/>
  <c r="I18" i="12" s="1"/>
  <c r="E17" i="12"/>
  <c r="G17" i="12" s="1"/>
  <c r="E16" i="12"/>
  <c r="M16" i="12" s="1"/>
  <c r="E15" i="12"/>
  <c r="M15" i="12" s="1"/>
  <c r="E14" i="12"/>
  <c r="E13" i="12"/>
  <c r="E12" i="12"/>
  <c r="E11" i="12"/>
  <c r="M11" i="12" s="1"/>
  <c r="E10" i="12"/>
  <c r="I9" i="12"/>
  <c r="G9" i="12"/>
  <c r="M16" i="11"/>
  <c r="I9" i="11"/>
  <c r="K18" i="11"/>
  <c r="K19" i="11" s="1"/>
  <c r="L18" i="11"/>
  <c r="L19" i="11" s="1"/>
  <c r="M14" i="11"/>
  <c r="M9" i="11"/>
  <c r="F48" i="10"/>
  <c r="F49" i="10" s="1"/>
  <c r="K48" i="10"/>
  <c r="K49" i="10" s="1"/>
  <c r="L48" i="10"/>
  <c r="L49" i="10" s="1"/>
  <c r="I16" i="11"/>
  <c r="G16" i="11"/>
  <c r="H19" i="11"/>
  <c r="H18" i="11" s="1"/>
  <c r="J18" i="11"/>
  <c r="J19" i="11" s="1"/>
  <c r="I14" i="11"/>
  <c r="G14" i="11"/>
  <c r="I11" i="11"/>
  <c r="G11" i="11"/>
  <c r="I10" i="11"/>
  <c r="G10" i="11"/>
  <c r="G9" i="11"/>
  <c r="M14" i="10"/>
  <c r="M39" i="10"/>
  <c r="M40" i="10"/>
  <c r="M41" i="10"/>
  <c r="M42" i="10"/>
  <c r="M37" i="10"/>
  <c r="K19" i="10"/>
  <c r="K20" i="10" s="1"/>
  <c r="M15" i="10"/>
  <c r="M12" i="10"/>
  <c r="M10" i="10"/>
  <c r="M13" i="10"/>
  <c r="M16" i="10"/>
  <c r="M17" i="10"/>
  <c r="H49" i="10"/>
  <c r="H48" i="10" s="1"/>
  <c r="J42" i="10"/>
  <c r="J48" i="10" s="1"/>
  <c r="J49" i="10" s="1"/>
  <c r="I42" i="10"/>
  <c r="G42" i="10"/>
  <c r="I41" i="10"/>
  <c r="G41" i="10"/>
  <c r="I40" i="10"/>
  <c r="G40" i="10"/>
  <c r="I39" i="10"/>
  <c r="G39" i="10"/>
  <c r="I37" i="10"/>
  <c r="G37" i="10"/>
  <c r="H20" i="10"/>
  <c r="H19" i="10" s="1"/>
  <c r="F19" i="10"/>
  <c r="F20" i="10" s="1"/>
  <c r="I17" i="10"/>
  <c r="G17" i="10"/>
  <c r="I16" i="10"/>
  <c r="G16" i="10"/>
  <c r="I15" i="10"/>
  <c r="G15" i="10"/>
  <c r="I14" i="10"/>
  <c r="G14" i="10"/>
  <c r="I13" i="10"/>
  <c r="G13" i="10"/>
  <c r="J12" i="10"/>
  <c r="J19" i="10" s="1"/>
  <c r="J20" i="10" s="1"/>
  <c r="I12" i="10"/>
  <c r="G12" i="10"/>
  <c r="L11" i="10"/>
  <c r="E19" i="10"/>
  <c r="E20" i="10" s="1"/>
  <c r="I10" i="10"/>
  <c r="G10" i="10"/>
  <c r="E9" i="10"/>
  <c r="K15" i="9"/>
  <c r="M10" i="9"/>
  <c r="M11" i="9"/>
  <c r="M13" i="9"/>
  <c r="M9" i="9"/>
  <c r="E9" i="9"/>
  <c r="K16" i="9"/>
  <c r="J15" i="9"/>
  <c r="J16" i="9" s="1"/>
  <c r="H15" i="9"/>
  <c r="F15" i="9"/>
  <c r="F16" i="9" s="1"/>
  <c r="I13" i="9"/>
  <c r="G13" i="9"/>
  <c r="E12" i="9"/>
  <c r="I11" i="9"/>
  <c r="G11" i="9"/>
  <c r="I10" i="9"/>
  <c r="G10" i="9"/>
  <c r="I9" i="9"/>
  <c r="G9" i="9"/>
  <c r="H11" i="8"/>
  <c r="K12" i="8"/>
  <c r="J11" i="8"/>
  <c r="J12" i="8" s="1"/>
  <c r="F11" i="8"/>
  <c r="F12" i="8" s="1"/>
  <c r="M12" i="8"/>
  <c r="I11" i="8"/>
  <c r="L32" i="7"/>
  <c r="M11" i="7"/>
  <c r="M12" i="7"/>
  <c r="M14" i="7"/>
  <c r="I14" i="7"/>
  <c r="G14" i="7"/>
  <c r="E13" i="7"/>
  <c r="I13" i="7" s="1"/>
  <c r="I12" i="7"/>
  <c r="G12" i="7"/>
  <c r="I11" i="7"/>
  <c r="G11" i="7"/>
  <c r="E10" i="7"/>
  <c r="E32" i="7" s="1"/>
  <c r="M38" i="6"/>
  <c r="F14" i="6"/>
  <c r="F15" i="6" s="1"/>
  <c r="M11" i="6"/>
  <c r="K15" i="5"/>
  <c r="M10" i="5"/>
  <c r="M11" i="5"/>
  <c r="M9" i="5"/>
  <c r="M17" i="4"/>
  <c r="M16" i="4"/>
  <c r="L10" i="4"/>
  <c r="M10" i="4" s="1"/>
  <c r="M11" i="4"/>
  <c r="M12" i="4"/>
  <c r="M13" i="4"/>
  <c r="M15" i="4"/>
  <c r="E10" i="3"/>
  <c r="G16" i="3"/>
  <c r="E12" i="3"/>
  <c r="N9" i="3"/>
  <c r="G9" i="3"/>
  <c r="F9" i="3"/>
  <c r="N12" i="3"/>
  <c r="E11" i="3"/>
  <c r="N11" i="3" s="1"/>
  <c r="M35" i="2"/>
  <c r="M37" i="2" s="1"/>
  <c r="M38" i="2" s="1"/>
  <c r="H36" i="1"/>
  <c r="M48" i="10" l="1"/>
  <c r="M49" i="10" s="1"/>
  <c r="M15" i="9"/>
  <c r="N10" i="3"/>
  <c r="G29" i="12"/>
  <c r="M29" i="12"/>
  <c r="I29" i="12"/>
  <c r="M22" i="12"/>
  <c r="M89" i="12"/>
  <c r="I9" i="10"/>
  <c r="M9" i="10"/>
  <c r="M19" i="10" s="1"/>
  <c r="M20" i="10" s="1"/>
  <c r="L19" i="10"/>
  <c r="L20" i="10" s="1"/>
  <c r="M11" i="10"/>
  <c r="I33" i="12"/>
  <c r="M33" i="12"/>
  <c r="M12" i="9"/>
  <c r="G13" i="12"/>
  <c r="M13" i="12"/>
  <c r="I13" i="12"/>
  <c r="I59" i="12"/>
  <c r="M59" i="12"/>
  <c r="M69" i="12" s="1"/>
  <c r="E43" i="12"/>
  <c r="E44" i="12" s="1"/>
  <c r="M10" i="12"/>
  <c r="M34" i="12"/>
  <c r="M17" i="12"/>
  <c r="M11" i="13"/>
  <c r="I17" i="12"/>
  <c r="G32" i="12"/>
  <c r="G40" i="12"/>
  <c r="M37" i="12"/>
  <c r="M24" i="12"/>
  <c r="M20" i="12"/>
  <c r="M44" i="12"/>
  <c r="I21" i="12"/>
  <c r="I32" i="12"/>
  <c r="I40" i="12"/>
  <c r="E99" i="12"/>
  <c r="E100" i="12" s="1"/>
  <c r="M88" i="12"/>
  <c r="G11" i="13"/>
  <c r="M62" i="12"/>
  <c r="M64" i="12"/>
  <c r="M63" i="12"/>
  <c r="M60" i="12"/>
  <c r="G59" i="12"/>
  <c r="G100" i="12"/>
  <c r="G99" i="12" s="1"/>
  <c r="I88" i="12"/>
  <c r="I100" i="12" s="1"/>
  <c r="I99" i="12" s="1"/>
  <c r="I26" i="12"/>
  <c r="G14" i="12"/>
  <c r="G26" i="12"/>
  <c r="I10" i="12"/>
  <c r="I22" i="12"/>
  <c r="G31" i="12"/>
  <c r="G35" i="12"/>
  <c r="G39" i="12"/>
  <c r="G63" i="12"/>
  <c r="G11" i="12"/>
  <c r="G15" i="12"/>
  <c r="G19" i="12"/>
  <c r="G23" i="12"/>
  <c r="G27" i="12"/>
  <c r="I31" i="12"/>
  <c r="I35" i="12"/>
  <c r="I39" i="12"/>
  <c r="I14" i="12"/>
  <c r="I11" i="12"/>
  <c r="I15" i="12"/>
  <c r="I19" i="12"/>
  <c r="I23" i="12"/>
  <c r="I27" i="12"/>
  <c r="G64" i="12"/>
  <c r="I58" i="12"/>
  <c r="G18" i="12"/>
  <c r="I38" i="12"/>
  <c r="G16" i="12"/>
  <c r="G10" i="12"/>
  <c r="I12" i="12"/>
  <c r="I16" i="12"/>
  <c r="I20" i="12"/>
  <c r="I24" i="12"/>
  <c r="I28" i="12"/>
  <c r="G61" i="12"/>
  <c r="I61" i="12" s="1"/>
  <c r="G65" i="12"/>
  <c r="I65" i="12" s="1"/>
  <c r="G34" i="12"/>
  <c r="G12" i="12"/>
  <c r="G28" i="12"/>
  <c r="G33" i="12"/>
  <c r="G37" i="12"/>
  <c r="G13" i="11"/>
  <c r="M13" i="11"/>
  <c r="G12" i="11"/>
  <c r="G19" i="11" s="1"/>
  <c r="G18" i="11" s="1"/>
  <c r="M12" i="11"/>
  <c r="M18" i="11" s="1"/>
  <c r="I13" i="11"/>
  <c r="I12" i="11"/>
  <c r="I19" i="11" s="1"/>
  <c r="G49" i="10"/>
  <c r="G48" i="10" s="1"/>
  <c r="I49" i="10"/>
  <c r="I48" i="10" s="1"/>
  <c r="G11" i="10"/>
  <c r="I11" i="10"/>
  <c r="I20" i="10" s="1"/>
  <c r="I19" i="10" s="1"/>
  <c r="G9" i="10"/>
  <c r="G20" i="10" s="1"/>
  <c r="G19" i="10" s="1"/>
  <c r="G12" i="9"/>
  <c r="I12" i="9"/>
  <c r="I15" i="9" s="1"/>
  <c r="M16" i="9"/>
  <c r="M10" i="7"/>
  <c r="M13" i="7"/>
  <c r="G10" i="7"/>
  <c r="G13" i="7"/>
  <c r="I10" i="7"/>
  <c r="I32" i="7" s="1"/>
  <c r="L56" i="1"/>
  <c r="K56" i="1"/>
  <c r="E53" i="1"/>
  <c r="E56" i="1" s="1"/>
  <c r="E57" i="1" s="1"/>
  <c r="H57" i="1"/>
  <c r="L57" i="1"/>
  <c r="K57" i="1"/>
  <c r="J56" i="1"/>
  <c r="J57" i="1" s="1"/>
  <c r="H56" i="1"/>
  <c r="F56" i="1"/>
  <c r="F57" i="1" s="1"/>
  <c r="M54" i="1"/>
  <c r="I54" i="1"/>
  <c r="G54" i="1"/>
  <c r="L37" i="2"/>
  <c r="K17" i="2"/>
  <c r="K18" i="2" s="1"/>
  <c r="M10" i="2"/>
  <c r="M12" i="2"/>
  <c r="M14" i="2"/>
  <c r="M11" i="2"/>
  <c r="M13" i="2"/>
  <c r="M15" i="2"/>
  <c r="L35" i="1"/>
  <c r="L36" i="1" s="1"/>
  <c r="M33" i="1"/>
  <c r="E32" i="1"/>
  <c r="K15" i="1"/>
  <c r="K16" i="1"/>
  <c r="F15" i="1"/>
  <c r="F16" i="1" s="1"/>
  <c r="E9" i="1"/>
  <c r="L9" i="1"/>
  <c r="E11" i="1"/>
  <c r="L13" i="1"/>
  <c r="M12" i="1"/>
  <c r="E10" i="1"/>
  <c r="H39" i="6"/>
  <c r="H38" i="6" s="1"/>
  <c r="M39" i="6"/>
  <c r="L38" i="6"/>
  <c r="L39" i="6" s="1"/>
  <c r="K38" i="6"/>
  <c r="K39" i="6" s="1"/>
  <c r="J38" i="6"/>
  <c r="J39" i="6" s="1"/>
  <c r="F38" i="6"/>
  <c r="F39" i="6" s="1"/>
  <c r="I39" i="6"/>
  <c r="I38" i="6" s="1"/>
  <c r="G39" i="6"/>
  <c r="G38" i="6" s="1"/>
  <c r="K15" i="6"/>
  <c r="J14" i="6"/>
  <c r="J15" i="6" s="1"/>
  <c r="I11" i="6"/>
  <c r="H11" i="6"/>
  <c r="H14" i="6" s="1"/>
  <c r="G11" i="6"/>
  <c r="E10" i="6"/>
  <c r="I9" i="6"/>
  <c r="G9" i="6"/>
  <c r="G12" i="5"/>
  <c r="G11" i="5"/>
  <c r="G10" i="5"/>
  <c r="G9" i="5"/>
  <c r="E16" i="5"/>
  <c r="G32" i="7" l="1"/>
  <c r="M32" i="7"/>
  <c r="M17" i="2"/>
  <c r="M18" i="2" s="1"/>
  <c r="E15" i="6"/>
  <c r="M10" i="6"/>
  <c r="M15" i="6" s="1"/>
  <c r="I44" i="12"/>
  <c r="I43" i="12" s="1"/>
  <c r="L15" i="1"/>
  <c r="L16" i="1" s="1"/>
  <c r="M32" i="1"/>
  <c r="L17" i="2"/>
  <c r="G32" i="1"/>
  <c r="G36" i="1" s="1"/>
  <c r="G53" i="1"/>
  <c r="G57" i="1" s="1"/>
  <c r="G56" i="1" s="1"/>
  <c r="I53" i="1"/>
  <c r="M19" i="11"/>
  <c r="M99" i="12"/>
  <c r="M100" i="12" s="1"/>
  <c r="M70" i="12"/>
  <c r="I69" i="12"/>
  <c r="G44" i="12"/>
  <c r="G43" i="12" s="1"/>
  <c r="I18" i="11"/>
  <c r="M10" i="1"/>
  <c r="I57" i="1"/>
  <c r="I56" i="1" s="1"/>
  <c r="M53" i="1"/>
  <c r="M56" i="1" s="1"/>
  <c r="M57" i="1" s="1"/>
  <c r="G10" i="6"/>
  <c r="G14" i="6" s="1"/>
  <c r="I10" i="6"/>
  <c r="I14" i="6" s="1"/>
  <c r="H15" i="5"/>
  <c r="K16" i="5"/>
  <c r="J15" i="5"/>
  <c r="J16" i="5" s="1"/>
  <c r="F15" i="5"/>
  <c r="F16" i="5" s="1"/>
  <c r="I12" i="5"/>
  <c r="I11" i="5"/>
  <c r="I10" i="5"/>
  <c r="I9" i="5"/>
  <c r="G17" i="4"/>
  <c r="G16" i="4"/>
  <c r="G15" i="4"/>
  <c r="G13" i="4"/>
  <c r="G12" i="4"/>
  <c r="G11" i="4"/>
  <c r="G10" i="4"/>
  <c r="H20" i="4"/>
  <c r="J19" i="4"/>
  <c r="J20" i="4" s="1"/>
  <c r="I17" i="4"/>
  <c r="I16" i="4"/>
  <c r="I15" i="4"/>
  <c r="L20" i="4"/>
  <c r="E14" i="4"/>
  <c r="M14" i="4" s="1"/>
  <c r="I13" i="4"/>
  <c r="I12" i="4"/>
  <c r="I11" i="4"/>
  <c r="I10" i="4"/>
  <c r="E9" i="4"/>
  <c r="I9" i="4" s="1"/>
  <c r="F17" i="3"/>
  <c r="G14" i="4" l="1"/>
  <c r="M9" i="4"/>
  <c r="M20" i="4" s="1"/>
  <c r="G9" i="4"/>
  <c r="I14" i="4"/>
  <c r="I19" i="4" s="1"/>
  <c r="N17" i="3"/>
  <c r="H9" i="3"/>
  <c r="L16" i="3"/>
  <c r="L17" i="3" s="1"/>
  <c r="K17" i="3"/>
  <c r="J12" i="3"/>
  <c r="H12" i="3"/>
  <c r="J11" i="3"/>
  <c r="H11" i="3"/>
  <c r="M17" i="3"/>
  <c r="E38" i="2"/>
  <c r="E37" i="2"/>
  <c r="H17" i="3" l="1"/>
  <c r="G17" i="3"/>
  <c r="I17" i="3"/>
  <c r="J17" i="3"/>
  <c r="G9" i="2"/>
  <c r="F18" i="2"/>
  <c r="H38" i="2"/>
  <c r="G38" i="2"/>
  <c r="G37" i="2" s="1"/>
  <c r="L38" i="2"/>
  <c r="K37" i="2"/>
  <c r="K38" i="2" s="1"/>
  <c r="J37" i="2"/>
  <c r="J38" i="2" s="1"/>
  <c r="H37" i="2"/>
  <c r="F37" i="2"/>
  <c r="F38" i="2" s="1"/>
  <c r="I35" i="2"/>
  <c r="I38" i="2" s="1"/>
  <c r="I37" i="2" s="1"/>
  <c r="G35" i="2"/>
  <c r="H18" i="2"/>
  <c r="H17" i="2" s="1"/>
  <c r="L18" i="2"/>
  <c r="J17" i="2"/>
  <c r="J18" i="2" s="1"/>
  <c r="I17" i="2"/>
  <c r="I18" i="2" s="1"/>
  <c r="G14" i="2"/>
  <c r="G13" i="2"/>
  <c r="G12" i="2"/>
  <c r="G11" i="2"/>
  <c r="G18" i="2" s="1"/>
  <c r="G17" i="2" s="1"/>
  <c r="G10" i="2"/>
  <c r="F35" i="1"/>
  <c r="F36" i="1" s="1"/>
  <c r="K35" i="1"/>
  <c r="K36" i="1" s="1"/>
  <c r="J35" i="1"/>
  <c r="J36" i="1" s="1"/>
  <c r="I33" i="1"/>
  <c r="I32" i="1"/>
  <c r="H16" i="1"/>
  <c r="H15" i="1" s="1"/>
  <c r="J15" i="1"/>
  <c r="J16" i="1" s="1"/>
  <c r="E13" i="1"/>
  <c r="I13" i="1" s="1"/>
  <c r="I12" i="1"/>
  <c r="G12" i="1"/>
  <c r="I10" i="1"/>
  <c r="G10" i="1"/>
  <c r="M13" i="1" l="1"/>
  <c r="M15" i="1" s="1"/>
  <c r="M16" i="1" s="1"/>
  <c r="I36" i="1"/>
  <c r="I35" i="1" s="1"/>
  <c r="G13" i="1"/>
  <c r="G11" i="1"/>
  <c r="G9" i="1"/>
  <c r="I9" i="1"/>
  <c r="I11" i="1"/>
  <c r="G16" i="1" l="1"/>
  <c r="G15" i="1" s="1"/>
  <c r="I16" i="1"/>
  <c r="I15" i="1" s="1"/>
</calcChain>
</file>

<file path=xl/sharedStrings.xml><?xml version="1.0" encoding="utf-8"?>
<sst xmlns="http://schemas.openxmlformats.org/spreadsheetml/2006/main" count="1090" uniqueCount="283">
  <si>
    <t>PLANTILLA DE PERSONAL</t>
  </si>
  <si>
    <t>NOMBRE DEL MUNICIPIO: ZIRACUARETIRO MICHOACÁN</t>
  </si>
  <si>
    <t>EJERCICIO PRESUPUESTAL:    2025</t>
  </si>
  <si>
    <t>UNIDAD RESPONSABLE: 01 PRESIDENCIA</t>
  </si>
  <si>
    <t>NOMBRE DEL EMPLEADO</t>
  </si>
  <si>
    <t xml:space="preserve">PUESTO </t>
  </si>
  <si>
    <t>PLAZA</t>
  </si>
  <si>
    <t>FECHA DE INGRESO</t>
  </si>
  <si>
    <t>SUELDO BASE</t>
  </si>
  <si>
    <t>COMPENSACIÓN</t>
  </si>
  <si>
    <t>AGUINALDO</t>
  </si>
  <si>
    <t>ISR AGUINALDO</t>
  </si>
  <si>
    <t>PRIMA VACACIONAL</t>
  </si>
  <si>
    <t>SUBSIDIO AL EMPLEO</t>
  </si>
  <si>
    <t>IMSS</t>
  </si>
  <si>
    <t>I. S. R.</t>
  </si>
  <si>
    <t>NETO PAGADO</t>
  </si>
  <si>
    <t>ALBERTO OROBIO ARRIAGA</t>
  </si>
  <si>
    <t>PRESIDENTE</t>
  </si>
  <si>
    <t>C</t>
  </si>
  <si>
    <t>SECRETARIO PARTICULAR</t>
  </si>
  <si>
    <t>KAREN JAQUELINE ROMERO VACA</t>
  </si>
  <si>
    <t>SECRETARIA "A"</t>
  </si>
  <si>
    <t>B</t>
  </si>
  <si>
    <t>MARICELA BACA YEPEZ</t>
  </si>
  <si>
    <t>JUEZ CIVICO</t>
  </si>
  <si>
    <t>TERESITA BANDA GARCIA</t>
  </si>
  <si>
    <t>ASESOR DE PRESIDENCIA</t>
  </si>
  <si>
    <t xml:space="preserve">TOTAL MENSUAL:   </t>
  </si>
  <si>
    <t>TOTAL ANUAL:</t>
  </si>
  <si>
    <t>PLAZA:</t>
  </si>
  <si>
    <t>( B ) BASE</t>
  </si>
  <si>
    <t>( C ) CONFIANZA</t>
  </si>
  <si>
    <t>( E ) EVENTUAL</t>
  </si>
  <si>
    <t>( H ) HONORARIOS ASIMILABLES A SALARIOS</t>
  </si>
  <si>
    <t>EJERCICIO PRESUPUESTAL:    2026</t>
  </si>
  <si>
    <t>ARMANDO EUGENIO HURTADO CARDIEL</t>
  </si>
  <si>
    <t>ENCARGADO DE COMUNICACION</t>
  </si>
  <si>
    <t>KARLOVICH TORRES</t>
  </si>
  <si>
    <t>AUXILIAR DE COMUNICACIÓN</t>
  </si>
  <si>
    <t>UNIDAD RESPONSABLE: 01 PRESIDENCIA (COMUNICACIÓN SOCIAL)</t>
  </si>
  <si>
    <t>UNIDAD RESPONSABLE: 02 REGIDURÍA</t>
  </si>
  <si>
    <t>DIETAS</t>
  </si>
  <si>
    <t>SARITA AGUIRRE LEMUS</t>
  </si>
  <si>
    <t>REGIDORA</t>
  </si>
  <si>
    <t>CHRISTIAN ALEJANDRO MEJIA  VACA</t>
  </si>
  <si>
    <t>REGIDOR</t>
  </si>
  <si>
    <t>ANDREA ISABEL ARENAS ALCANTAR</t>
  </si>
  <si>
    <t>ISRAEL SOLIS VELAZQUEZ</t>
  </si>
  <si>
    <t>ISABEL DEL ROSARIO ALVAREZ FERRER</t>
  </si>
  <si>
    <t>MA DE JESUS JIMENEZ AGUADO</t>
  </si>
  <si>
    <t>GENOVEVA MADRIGAL GUIDO</t>
  </si>
  <si>
    <t>CUOTA SINDICAL</t>
  </si>
  <si>
    <t>LORENA MAGALLAN MONDRAGON</t>
  </si>
  <si>
    <t>SECRETARIA "B"</t>
  </si>
  <si>
    <t>UNIDAD RESPONSABLE: 03 SINDICATURA MUNICIPAL</t>
  </si>
  <si>
    <t>ESTELA JALIMAR CASTRO CALVILLO</t>
  </si>
  <si>
    <t>SINDICO MUNICIPAL</t>
  </si>
  <si>
    <t>ALMA RITA GALVAN MOTUTO</t>
  </si>
  <si>
    <t>YAJAIRA JACQUELIN ALVAREZ PEREZ</t>
  </si>
  <si>
    <t>AUXILIAR PATRIMONIO SINDICATURA</t>
  </si>
  <si>
    <t>JESSE NAREZ</t>
  </si>
  <si>
    <t>ASESOR JURIDICO</t>
  </si>
  <si>
    <t>VACANTE</t>
  </si>
  <si>
    <t>UNIDAD RESPONSABLE: 04 TESORERÍA MUNICIPAL</t>
  </si>
  <si>
    <t>COMPENSACIÓN EXTRAORDINARIA</t>
  </si>
  <si>
    <t>MARIBEL RICO ARRIAGA</t>
  </si>
  <si>
    <t>TESORERA MUNICIPAL</t>
  </si>
  <si>
    <t>FRANCISCO JAVIER CABRERA HUERTA</t>
  </si>
  <si>
    <t>AUXILIAR DE TESORERIA "B"</t>
  </si>
  <si>
    <t>ANDREA NATALIE MORA ZEPEDA</t>
  </si>
  <si>
    <t>AUXILIAR DE TESORERIA "D"</t>
  </si>
  <si>
    <t>AUXILIAR DE TESORERIA "C"</t>
  </si>
  <si>
    <t>KAREN ESMERALDA SANCHEZ MARTINEZ</t>
  </si>
  <si>
    <t>AUXILIAR DE TESORERIA "A"</t>
  </si>
  <si>
    <t>MARIA DEL SOCORRO GARCIA VEGA</t>
  </si>
  <si>
    <t>COBRANZA TESORERIA</t>
  </si>
  <si>
    <t>ALEJANDRA SARAHI AGUIRRE JUAREZ</t>
  </si>
  <si>
    <t xml:space="preserve"> </t>
  </si>
  <si>
    <t>NOMBRE DEL MUNICIPIO: ZIRACUARETIRO MICHOACÁN.</t>
  </si>
  <si>
    <t>UNIDAD RESPONSABLE: 05 CONTRALORÍA MUNICIPAL</t>
  </si>
  <si>
    <t>PAGO NETO</t>
  </si>
  <si>
    <t>MARIA MONSERRAT FARIAS AGUIRRE</t>
  </si>
  <si>
    <t>CONTRALOR MUNICIPAL</t>
  </si>
  <si>
    <t>ANA CRISTINA CARRILLO ROMERO</t>
  </si>
  <si>
    <t>AUDITOR ANALITICO</t>
  </si>
  <si>
    <t>UNIDADA SUBSTANCIADORA</t>
  </si>
  <si>
    <t>UNIDAD DE INVESTIGACION</t>
  </si>
  <si>
    <t>JESUS RAUL PEÑA HIDALGGO</t>
  </si>
  <si>
    <t>IVAN REYES ROMERO</t>
  </si>
  <si>
    <t>UNIDAD RESPONSABLE: 06 SECRETARÍA DEL AYUNTAMIENTO</t>
  </si>
  <si>
    <t>LUIS EDGAR VEGA PONCE</t>
  </si>
  <si>
    <t>SECRETARIO MUNICIPAL</t>
  </si>
  <si>
    <t>MONSERRAT YADIRA HERRERA LEMUS</t>
  </si>
  <si>
    <t xml:space="preserve">INSPECTOR DE LICENCIAS Y PERMISOS </t>
  </si>
  <si>
    <t>UNIDAD RESPONSABLE: 06 SECRETARIA (ARCHIVO)</t>
  </si>
  <si>
    <t>UNIDAD RESPONSABLE: 01 PRESIDENCIA (TRANSPARENCIA)</t>
  </si>
  <si>
    <t>ESTEFANIA DURAN LEMUS</t>
  </si>
  <si>
    <t>ENCARGADA TRANSPARENCIA</t>
  </si>
  <si>
    <t>MARCELA PEREZ SANABRIA</t>
  </si>
  <si>
    <t>ESMERALDA MARTINEZ GARCIA</t>
  </si>
  <si>
    <t>AFANADORA</t>
  </si>
  <si>
    <t>ANTONIA GARCIA PARDO</t>
  </si>
  <si>
    <t>AUXILIAR PLAZA</t>
  </si>
  <si>
    <t>HECTOR DURAN BACA</t>
  </si>
  <si>
    <t>AUXILIAR PARQUES Y JARDINES</t>
  </si>
  <si>
    <t>ELECTRICISTA</t>
  </si>
  <si>
    <t>ROGELIO ZAVALA CABRERA</t>
  </si>
  <si>
    <t>CHOFER CAMIONETA DE LA BASURA</t>
  </si>
  <si>
    <t>JAIME DAVID FLORES  AGUILAR</t>
  </si>
  <si>
    <t>ENCARGADO DEL CITIRS</t>
  </si>
  <si>
    <t>AMADEO LULE AYALA</t>
  </si>
  <si>
    <t>AUXILIAR DE SERVICIOS PUBLICOS</t>
  </si>
  <si>
    <t xml:space="preserve">JOSE ANTONIO MAGAÑA </t>
  </si>
  <si>
    <t>A</t>
  </si>
  <si>
    <t>ALAN JESUS CASTILLO</t>
  </si>
  <si>
    <t>AUXILIAR SERVICIOS PUBLICOS</t>
  </si>
  <si>
    <t>AUXILIAR DE CITIRS</t>
  </si>
  <si>
    <t>JOSE HECTOR TAVERA</t>
  </si>
  <si>
    <t>PANTEONERO</t>
  </si>
  <si>
    <t>AUXILIAR SERVICIOS PUBLICOS "B"</t>
  </si>
  <si>
    <t>VEEDOR DEL RASTRO</t>
  </si>
  <si>
    <t>|</t>
  </si>
  <si>
    <t>PERLA CELESTE MOLINA CORIA</t>
  </si>
  <si>
    <t>RECURSOS HUMANOS</t>
  </si>
  <si>
    <t>ATENOGENES RODRIGUEZ SANCHEZ</t>
  </si>
  <si>
    <t>AUXILIAR DE OFICIALIA "A"</t>
  </si>
  <si>
    <t>MARIA GUADALUPE ZAVALA ESPINO</t>
  </si>
  <si>
    <t>BIBLIOTECARIA</t>
  </si>
  <si>
    <t>IMELDA GARCIA MIRANDA</t>
  </si>
  <si>
    <t>AUXILIAR DE OFICIALIA "B"</t>
  </si>
  <si>
    <t>IMELDA ROCHA HUERTA</t>
  </si>
  <si>
    <t>ENCARGADO DE INFORMATICA</t>
  </si>
  <si>
    <t>UNIDAD RESPONSABLE: 009 DIRECCION DE CULTURA TURISMO Y MIGRACION</t>
  </si>
  <si>
    <t>JOSE GUADALUPE ESPINOZA CRUZ</t>
  </si>
  <si>
    <t>MAESTRO DE DANZA</t>
  </si>
  <si>
    <t>MONSERRAT ALEJANDRA ALVAREZ AGUILAR</t>
  </si>
  <si>
    <t>SECRETARÍA "E"</t>
  </si>
  <si>
    <t>UNIDAD RESPONSABLE: 010 DESARROLLO INTEGRAL PARA LA FAMILIA (DIF)</t>
  </si>
  <si>
    <t>ISIDRO OROBIO ARRIAGA</t>
  </si>
  <si>
    <t>DIRECTOR DEL DIF MUNICIPAL</t>
  </si>
  <si>
    <t>AMERICA XIOMARA ROCHA ZAMUDIO</t>
  </si>
  <si>
    <t>COORDINADORA</t>
  </si>
  <si>
    <t>MA ELENA RAMIREZ VALENCIA</t>
  </si>
  <si>
    <t>AUXILIR DEL DIF</t>
  </si>
  <si>
    <t>JEANETTE DIAZ PEREZ</t>
  </si>
  <si>
    <t>ENCARGADA PROGRAMA</t>
  </si>
  <si>
    <t>AUXILIAR DEL DIF</t>
  </si>
  <si>
    <t xml:space="preserve">LIZ HERNANDEZ VILLA </t>
  </si>
  <si>
    <t>SECRETARIA</t>
  </si>
  <si>
    <t>MIRNA OROBIO FERNANDEZ</t>
  </si>
  <si>
    <t>TRABAJADORA SOCIAL</t>
  </si>
  <si>
    <t>UNIDAD RESPONSABLE: 010 DESARROLLO INTEGRAL PARA LA FAMILIA (SALUD)</t>
  </si>
  <si>
    <t>MEDICO GENERAL</t>
  </si>
  <si>
    <t>MERCEDES BEATRIZ LUEVANO GOMEZ</t>
  </si>
  <si>
    <t>TERAPISTA "A"</t>
  </si>
  <si>
    <t>TERAPISTA "B"</t>
  </si>
  <si>
    <t>DENTISTA</t>
  </si>
  <si>
    <t>LUIS IGNACIO TORRES</t>
  </si>
  <si>
    <t xml:space="preserve">DOCTOR </t>
  </si>
  <si>
    <t xml:space="preserve">VACANTE </t>
  </si>
  <si>
    <t>PSICOLOGA</t>
  </si>
  <si>
    <t>MONICA NAYELI DIAZ ALBA</t>
  </si>
  <si>
    <t>PILI AITAI HUERTA</t>
  </si>
  <si>
    <t>SECRETARIA DE UBR</t>
  </si>
  <si>
    <t>EVELIN ALEJANDRA MARTINEZ</t>
  </si>
  <si>
    <t>IGNACIO AGUSTIN NARNAJO NERI</t>
  </si>
  <si>
    <t>UNIDAD RESPONSABLE: 011 DIRECCIÓN DE OBRAS PÚBLICAS</t>
  </si>
  <si>
    <t>IVAN NOE VARGAS VACA</t>
  </si>
  <si>
    <t>DIRECTOR DE OBRAS PUBLICAS</t>
  </si>
  <si>
    <t>EUFROCINA ANGUIANO DIAZ</t>
  </si>
  <si>
    <t>AUXILIAR OBRAS "A"</t>
  </si>
  <si>
    <t>GABRIEL FELIPE CAMPOS MEJIA</t>
  </si>
  <si>
    <t>SUPERVISOR DE OBRAS "A"</t>
  </si>
  <si>
    <t>MARCO TORRES SOLIS</t>
  </si>
  <si>
    <t>AUXILIAR OBRAS "B"</t>
  </si>
  <si>
    <t>ADOLFO IGNACIO MADRIGAL REYES</t>
  </si>
  <si>
    <t>SUPERVISOR DE OBRAS "B"</t>
  </si>
  <si>
    <t>ALFREDO CAMPOS</t>
  </si>
  <si>
    <t>AUXILIAR OBRAS "C"</t>
  </si>
  <si>
    <t>NRTO PAGADO</t>
  </si>
  <si>
    <t>JESUS VELAZQUEZ MARTINEZ</t>
  </si>
  <si>
    <t>CLARISSA HERRARA MURILLO</t>
  </si>
  <si>
    <t>UNIDAD RESPONSABLE: 013 DIRECCIÓN DE SEGURIDAD PÚBLICA</t>
  </si>
  <si>
    <t>GREGORIO ASCENCIO JIMENEZ</t>
  </si>
  <si>
    <t>DIRECTOR DE SEGURIDAD PUBLICA</t>
  </si>
  <si>
    <t>ELIHU HERNANDEZ JAIMEZ</t>
  </si>
  <si>
    <t>SUBDIRECTOR DE SEGURIDAD PUBLICA</t>
  </si>
  <si>
    <t>JOSE IGNACIO MARTINEZ</t>
  </si>
  <si>
    <t>ELEMENTO DE SEGURIDAD PUBLICA</t>
  </si>
  <si>
    <t>MIGUEL BENITEZ CHAVEZ</t>
  </si>
  <si>
    <t>MIGUEL CISNEROS CISNEROS</t>
  </si>
  <si>
    <t>MECANICO DE SEGURIDAD PUBLICA</t>
  </si>
  <si>
    <t>ANGEL OCIEL GARCIA RANGEL</t>
  </si>
  <si>
    <t>PEDRO OROZCO VILLA</t>
  </si>
  <si>
    <t>LUIS FERNANDO MARTINEZ AMADOR</t>
  </si>
  <si>
    <t>OSCAR AVILES GUTIERREZ</t>
  </si>
  <si>
    <t>JOSE ROBERTO IGNACIO VALENTIN</t>
  </si>
  <si>
    <t>RAUL EDUARDO CALDERON RODRIGUEZ</t>
  </si>
  <si>
    <t>LUIS ANGEL GARCIA GUTIERREZ</t>
  </si>
  <si>
    <t>ALONDRA RUIZ MATA</t>
  </si>
  <si>
    <t>COMADANTE DE TURNO</t>
  </si>
  <si>
    <t>RICARDO VACA PIÑA</t>
  </si>
  <si>
    <t>ITZEL RUBIO ESPINOSA</t>
  </si>
  <si>
    <t>ENLACE ADMINISTRATIVO</t>
  </si>
  <si>
    <t>AYUDANTE DE COCINA</t>
  </si>
  <si>
    <t>OCTAVIO QUIROZ CARRILLO</t>
  </si>
  <si>
    <t>MITZU ISABEL FERNANDEZ RIVERA</t>
  </si>
  <si>
    <t>ERIC DIAZ VAZQUEZ</t>
  </si>
  <si>
    <t>PABLO GARCIA MARTINEZ</t>
  </si>
  <si>
    <t>MARGARITA NADIA MELCHOR DEL RIO</t>
  </si>
  <si>
    <t>UNIDAD RESPONSABLE: 013 DIRECCIÓN DE SEGURIDAD PÚBLICA (TRANSITO Y VIALIDAD)</t>
  </si>
  <si>
    <t>LUIS GERARDO GUTIERREZ RAMIREZ</t>
  </si>
  <si>
    <t>ELEMENTO DE VIALIDAD "B"</t>
  </si>
  <si>
    <t>MAYRA ADELA MARIN SANCHEZ</t>
  </si>
  <si>
    <t>LUIS RICARDO MARTINEZ VEGA</t>
  </si>
  <si>
    <t>ELEMENTO DE VIALIDAD</t>
  </si>
  <si>
    <t>UNIDAD RESPONSABLE:013 DIRECCIÓN DE SEGURIDAD PÚBLICA (PROTECCIÓN CIVIL)</t>
  </si>
  <si>
    <t>FRANCISCO  JAVIER TORRES GARCIA</t>
  </si>
  <si>
    <t>COORDINADORA DE PROTECCION CIVIL</t>
  </si>
  <si>
    <t>HUIPE ZALAPA ADALBERTO</t>
  </si>
  <si>
    <t>COMANDANTE OPERATIVO</t>
  </si>
  <si>
    <t>OPERADOR</t>
  </si>
  <si>
    <t>AURORA GUADALUPE MEJIA BACA</t>
  </si>
  <si>
    <t>PARAMEDICO</t>
  </si>
  <si>
    <t>JOSE RAUL MORALES JARAMILLO</t>
  </si>
  <si>
    <t>JATZARY GUADALUPE VAZQUEZ</t>
  </si>
  <si>
    <t>EDGAR PADILLA PIMENTEL</t>
  </si>
  <si>
    <t>NEFTALI RUBIO ESPINOSA</t>
  </si>
  <si>
    <t>DIRECTOR DE BIEN COMUN</t>
  </si>
  <si>
    <t>VIRGINIA CARREON PACHECO</t>
  </si>
  <si>
    <t>OSWALDO HERNANDEZ REYES</t>
  </si>
  <si>
    <t>JEFE DE DEPARTAMENTO JUVENTUD Y DEPORTES</t>
  </si>
  <si>
    <t>NETO PAGO</t>
  </si>
  <si>
    <t>MARIA DE GUADALUPE SANDOVAL PORTUGAL</t>
  </si>
  <si>
    <t>MARIO HERNANDEZ MENDOZA</t>
  </si>
  <si>
    <t>CECILIA CARRION NIETO</t>
  </si>
  <si>
    <t>NESTOR AGUILAR CRUZ</t>
  </si>
  <si>
    <t>JESUS SALVADOR AYALA GUILLEN</t>
  </si>
  <si>
    <t>BERTHA MEJIA MOLINA</t>
  </si>
  <si>
    <t>MARINA HERNANDEZ RICO</t>
  </si>
  <si>
    <t>LAIDY LAURA MAXIMILIANO SILVA</t>
  </si>
  <si>
    <t>HUMBERTO ARELLANO CAMPOS</t>
  </si>
  <si>
    <t>OMAR NAVARRO VILLANUEVA</t>
  </si>
  <si>
    <t>EDUARDO ANTONIO VARGAS VILLEGAS</t>
  </si>
  <si>
    <t>JEFE DE DEPARTAMENTO EDUCACION</t>
  </si>
  <si>
    <t>UNIDAD RESPONSABLE: 07 DEPARTAMENTO DE OPERACONES Y MANTENIMIENTO</t>
  </si>
  <si>
    <t>DEPARTAMENTO DE OPERACIONES Y MANTENIMIENTO</t>
  </si>
  <si>
    <t>OFICIAL MAYOR</t>
  </si>
  <si>
    <t>JEFE DE DEPARTAMENTO</t>
  </si>
  <si>
    <t>CUSTODIO DE SEGURIDAD  PERSONAL</t>
  </si>
  <si>
    <t>DIVERSIDAD SOCIAL</t>
  </si>
  <si>
    <t>UNIDAD RESPONSABLE:BIEN COMUN EDUCACION</t>
  </si>
  <si>
    <t>FOMENTO ECONOMICO</t>
  </si>
  <si>
    <t>MARTIN BANDERAS FIGUEROA</t>
  </si>
  <si>
    <t>ASUNTOS INDIGENAS</t>
  </si>
  <si>
    <t>DEPARTAMENTO DE MEDIACION</t>
  </si>
  <si>
    <t>MEDICO GENERAL B</t>
  </si>
  <si>
    <t>OPERADOR DE OBRAS</t>
  </si>
  <si>
    <t>ADRIANA PEREZ BEJAR</t>
  </si>
  <si>
    <t>AUXILIAR DE SERVICIOS PUBLICOS "A"</t>
  </si>
  <si>
    <t>AUXILIAR SERVICIOS PUBLICOS "C"</t>
  </si>
  <si>
    <t>COORDINADOR DE ARCHIVO</t>
  </si>
  <si>
    <t>CHOFER CAMION DE BASURA</t>
  </si>
  <si>
    <t>PANTEONERO "A"</t>
  </si>
  <si>
    <t>PSICOLOGA "A"</t>
  </si>
  <si>
    <t>ANGELICA MARIA FIGUEROA</t>
  </si>
  <si>
    <t>AUXILIAR DE CULTURA</t>
  </si>
  <si>
    <t>UNIDAD RESOLUTORA</t>
  </si>
  <si>
    <t xml:space="preserve">UNIDAD RESPONSABLE: 08 OFICIALIA MAYOR </t>
  </si>
  <si>
    <t xml:space="preserve">SECRETARIA DE OFICIALIA </t>
  </si>
  <si>
    <t>UNIDAD RESPONSABLE: 07 RECURSOS HUMANOS</t>
  </si>
  <si>
    <t>DIRECCION DE CULTURA Y TURISMO</t>
  </si>
  <si>
    <t>JEFA DEPARTAMENTO MIGRACION</t>
  </si>
  <si>
    <t>UNIDAD RESPONSABLE: 012 MEDIO AMBIENTE Y PROTECCION ANIMAL</t>
  </si>
  <si>
    <t>JEFE DE DEPARTAMENTO URBANISMO</t>
  </si>
  <si>
    <t>MEDIO AMBIENTE PROT ANIMAL</t>
  </si>
  <si>
    <t>UNIDAD RESPONSABLE: 14 BIEN COMUN</t>
  </si>
  <si>
    <t>UNIDAD RESPONSABLE: 15 INSTITUTO DE LA MUJER ZIRACUARETIRENSE</t>
  </si>
  <si>
    <t>DIRECTORA DE INSTITUTO DE LA MUJER</t>
  </si>
  <si>
    <t>UNIDAD RESPONSABLE: JUVENTUD Y DEPORTES)</t>
  </si>
  <si>
    <t>ASESOR JURIDICO HONORARIOS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</si>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</sst>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d/m/yyyy"/>
    <numFmt numFmtId="165" formatCode="_-&quot;$&quot;* #,##0.00_-;\-&quot;$&quot;* #,##0.00_-;_-&quot;$&quot;* &quot;-&quot;??_-;_-@"/>
    <numFmt numFmtId="166" formatCode="mm/dd/yyyy"/>
    <numFmt numFmtId="167" formatCode="dd/mmm/yy"/>
    <numFmt numFmtId="168" formatCode="_-[$$-80A]* #,##0.00_-;\-[$$-80A]* #,##0.00_-;_-[$$-80A]* &quot;-&quot;??_-;_-@"/>
  </numFmts>
  <fonts count="15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0"/>
      <name val="Arial"/>
    </font>
    <font>
      <b/>
      <sz val="10"/>
      <color theme="1"/>
      <name val="Arial"/>
    </font>
    <font>
      <sz val="9"/>
      <color rgb="FF000000"/>
      <name val="Arial"/>
    </font>
    <font>
      <sz val="8"/>
      <color theme="1"/>
      <name val="Arial"/>
    </font>
    <font>
      <sz val="8"/>
      <color theme="1"/>
      <name val="Open Sans"/>
    </font>
    <font>
      <sz val="10"/>
      <color theme="1"/>
      <name val="Calibri"/>
    </font>
    <font>
      <sz val="9"/>
      <color theme="1"/>
      <name val="Calibri"/>
    </font>
    <font>
      <sz val="11"/>
      <color rgb="FF339966"/>
      <name val="Quattrocento Sans"/>
    </font>
    <font>
      <b/>
      <sz val="8"/>
      <color theme="1"/>
      <name val="Arial"/>
    </font>
    <font>
      <b/>
      <sz val="9"/>
      <color theme="1"/>
      <name val="Arial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164" fontId="8" fillId="0" borderId="14" xfId="0" applyNumberFormat="1" applyFont="1" applyBorder="1" applyAlignment="1">
      <alignment horizontal="left" vertical="top" wrapText="1"/>
    </xf>
    <xf numFmtId="165" fontId="7" fillId="0" borderId="14" xfId="0" applyNumberFormat="1" applyFont="1" applyBorder="1" applyAlignment="1">
      <alignment horizontal="left"/>
    </xf>
    <xf numFmtId="165" fontId="5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165" fontId="7" fillId="0" borderId="17" xfId="0" applyNumberFormat="1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9" xfId="0" applyFont="1" applyBorder="1" applyAlignment="1">
      <alignment horizontal="center"/>
    </xf>
    <xf numFmtId="165" fontId="7" fillId="0" borderId="20" xfId="0" applyNumberFormat="1" applyFont="1" applyBorder="1" applyAlignment="1">
      <alignment horizontal="left"/>
    </xf>
    <xf numFmtId="0" fontId="6" fillId="0" borderId="21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/>
    </xf>
    <xf numFmtId="0" fontId="7" fillId="0" borderId="20" xfId="0" applyFont="1" applyBorder="1" applyAlignment="1">
      <alignment horizontal="center"/>
    </xf>
    <xf numFmtId="0" fontId="2" fillId="0" borderId="22" xfId="0" applyFont="1" applyBorder="1"/>
    <xf numFmtId="0" fontId="5" fillId="3" borderId="23" xfId="0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/>
    </xf>
    <xf numFmtId="0" fontId="5" fillId="3" borderId="24" xfId="0" applyFont="1" applyFill="1" applyBorder="1" applyAlignment="1">
      <alignment horizontal="left" vertical="center" wrapText="1"/>
    </xf>
    <xf numFmtId="165" fontId="5" fillId="0" borderId="21" xfId="0" applyNumberFormat="1" applyFont="1" applyBorder="1" applyAlignment="1">
      <alignment horizontal="center"/>
    </xf>
    <xf numFmtId="0" fontId="5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7" fillId="0" borderId="13" xfId="0" applyFont="1" applyBorder="1" applyAlignment="1">
      <alignment horizontal="left"/>
    </xf>
    <xf numFmtId="164" fontId="7" fillId="0" borderId="17" xfId="0" applyNumberFormat="1" applyFont="1" applyBorder="1" applyAlignment="1">
      <alignment horizontal="center"/>
    </xf>
    <xf numFmtId="165" fontId="7" fillId="0" borderId="17" xfId="0" applyNumberFormat="1" applyFont="1" applyBorder="1"/>
    <xf numFmtId="0" fontId="7" fillId="0" borderId="16" xfId="0" applyFont="1" applyBorder="1" applyAlignment="1">
      <alignment horizontal="left"/>
    </xf>
    <xf numFmtId="165" fontId="7" fillId="0" borderId="14" xfId="0" applyNumberFormat="1" applyFont="1" applyBorder="1"/>
    <xf numFmtId="49" fontId="5" fillId="0" borderId="26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20" xfId="0" applyFont="1" applyBorder="1"/>
    <xf numFmtId="0" fontId="2" fillId="0" borderId="20" xfId="0" applyFont="1" applyBorder="1" applyAlignment="1">
      <alignment horizontal="center"/>
    </xf>
    <xf numFmtId="0" fontId="5" fillId="3" borderId="28" xfId="0" applyFont="1" applyFill="1" applyBorder="1" applyAlignment="1">
      <alignment horizontal="left" vertical="center" wrapText="1"/>
    </xf>
    <xf numFmtId="165" fontId="5" fillId="0" borderId="29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5" fillId="0" borderId="32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 vertical="center" wrapText="1"/>
    </xf>
    <xf numFmtId="165" fontId="7" fillId="0" borderId="0" xfId="0" applyNumberFormat="1" applyFont="1"/>
    <xf numFmtId="165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/>
    <xf numFmtId="0" fontId="7" fillId="0" borderId="29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5" xfId="0" applyFont="1" applyBorder="1" applyAlignment="1">
      <alignment horizontal="center"/>
    </xf>
    <xf numFmtId="164" fontId="7" fillId="0" borderId="35" xfId="0" applyNumberFormat="1" applyFont="1" applyBorder="1" applyAlignment="1">
      <alignment horizontal="center"/>
    </xf>
    <xf numFmtId="165" fontId="7" fillId="0" borderId="35" xfId="0" applyNumberFormat="1" applyFont="1" applyBorder="1" applyAlignment="1">
      <alignment horizontal="left"/>
    </xf>
    <xf numFmtId="49" fontId="5" fillId="0" borderId="35" xfId="0" applyNumberFormat="1" applyFont="1" applyBorder="1" applyAlignment="1">
      <alignment horizontal="center" vertical="center" wrapText="1"/>
    </xf>
    <xf numFmtId="165" fontId="7" fillId="0" borderId="35" xfId="0" applyNumberFormat="1" applyFont="1" applyBorder="1"/>
    <xf numFmtId="165" fontId="5" fillId="0" borderId="35" xfId="0" applyNumberFormat="1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25" xfId="0" applyFont="1" applyBorder="1"/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4" fontId="7" fillId="0" borderId="36" xfId="0" applyNumberFormat="1" applyFont="1" applyBorder="1" applyAlignment="1">
      <alignment horizontal="center"/>
    </xf>
    <xf numFmtId="165" fontId="7" fillId="0" borderId="30" xfId="0" applyNumberFormat="1" applyFont="1" applyBorder="1" applyAlignment="1">
      <alignment horizontal="left"/>
    </xf>
    <xf numFmtId="165" fontId="7" fillId="0" borderId="30" xfId="0" applyNumberFormat="1" applyFont="1" applyBorder="1"/>
    <xf numFmtId="165" fontId="5" fillId="0" borderId="30" xfId="0" applyNumberFormat="1" applyFont="1" applyBorder="1" applyAlignment="1">
      <alignment horizontal="center" vertical="center" wrapText="1"/>
    </xf>
    <xf numFmtId="165" fontId="5" fillId="0" borderId="37" xfId="0" applyNumberFormat="1" applyFont="1" applyBorder="1" applyAlignment="1">
      <alignment horizontal="center" vertical="center" wrapText="1"/>
    </xf>
    <xf numFmtId="165" fontId="7" fillId="0" borderId="19" xfId="0" applyNumberFormat="1" applyFont="1" applyBorder="1" applyAlignment="1">
      <alignment horizontal="left"/>
    </xf>
    <xf numFmtId="49" fontId="5" fillId="0" borderId="19" xfId="0" applyNumberFormat="1" applyFont="1" applyBorder="1" applyAlignment="1">
      <alignment horizontal="center" vertical="center" wrapText="1"/>
    </xf>
    <xf numFmtId="165" fontId="7" fillId="0" borderId="19" xfId="0" applyNumberFormat="1" applyFont="1" applyBorder="1"/>
    <xf numFmtId="165" fontId="5" fillId="0" borderId="19" xfId="0" applyNumberFormat="1" applyFont="1" applyBorder="1" applyAlignment="1">
      <alignment horizontal="center" vertical="center" wrapText="1"/>
    </xf>
    <xf numFmtId="165" fontId="7" fillId="0" borderId="20" xfId="0" applyNumberFormat="1" applyFont="1" applyBorder="1"/>
    <xf numFmtId="0" fontId="7" fillId="0" borderId="14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0" xfId="0" applyFont="1" applyBorder="1"/>
    <xf numFmtId="0" fontId="7" fillId="0" borderId="0" xfId="0" applyFont="1" applyBorder="1" applyAlignment="1">
      <alignment horizontal="left" wrapText="1"/>
    </xf>
    <xf numFmtId="164" fontId="7" fillId="0" borderId="38" xfId="0" applyNumberFormat="1" applyFont="1" applyBorder="1" applyAlignment="1">
      <alignment horizontal="left" vertical="top" wrapText="1"/>
    </xf>
    <xf numFmtId="165" fontId="7" fillId="0" borderId="39" xfId="0" applyNumberFormat="1" applyFont="1" applyBorder="1"/>
    <xf numFmtId="0" fontId="7" fillId="0" borderId="39" xfId="0" applyFont="1" applyBorder="1"/>
    <xf numFmtId="0" fontId="2" fillId="0" borderId="39" xfId="0" applyFont="1" applyBorder="1"/>
    <xf numFmtId="165" fontId="5" fillId="0" borderId="38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left" vertical="top" wrapText="1"/>
    </xf>
    <xf numFmtId="0" fontId="7" fillId="0" borderId="17" xfId="0" applyFont="1" applyBorder="1"/>
    <xf numFmtId="165" fontId="2" fillId="0" borderId="17" xfId="0" applyNumberFormat="1" applyFont="1" applyBorder="1"/>
    <xf numFmtId="164" fontId="8" fillId="0" borderId="38" xfId="0" applyNumberFormat="1" applyFont="1" applyBorder="1" applyAlignment="1">
      <alignment horizontal="left" vertical="top" wrapText="1"/>
    </xf>
    <xf numFmtId="165" fontId="7" fillId="0" borderId="31" xfId="0" applyNumberFormat="1" applyFont="1" applyBorder="1" applyAlignment="1">
      <alignment horizontal="left"/>
    </xf>
    <xf numFmtId="165" fontId="7" fillId="0" borderId="31" xfId="0" applyNumberFormat="1" applyFont="1" applyBorder="1"/>
    <xf numFmtId="49" fontId="5" fillId="0" borderId="38" xfId="0" applyNumberFormat="1" applyFont="1" applyBorder="1" applyAlignment="1">
      <alignment horizontal="center" vertical="center" wrapText="1"/>
    </xf>
    <xf numFmtId="4" fontId="11" fillId="0" borderId="0" xfId="0" applyNumberFormat="1" applyFont="1"/>
    <xf numFmtId="0" fontId="11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/>
    <xf numFmtId="4" fontId="7" fillId="0" borderId="14" xfId="0" applyNumberFormat="1" applyFont="1" applyBorder="1"/>
    <xf numFmtId="4" fontId="2" fillId="0" borderId="0" xfId="0" applyNumberFormat="1" applyFont="1"/>
    <xf numFmtId="164" fontId="7" fillId="0" borderId="38" xfId="0" applyNumberFormat="1" applyFont="1" applyBorder="1" applyAlignment="1">
      <alignment horizontal="center"/>
    </xf>
    <xf numFmtId="165" fontId="7" fillId="0" borderId="39" xfId="0" applyNumberFormat="1" applyFont="1" applyBorder="1" applyAlignment="1">
      <alignment horizontal="left"/>
    </xf>
    <xf numFmtId="165" fontId="3" fillId="2" borderId="2" xfId="0" applyNumberFormat="1" applyFont="1" applyFill="1" applyBorder="1"/>
    <xf numFmtId="165" fontId="3" fillId="2" borderId="5" xfId="0" applyNumberFormat="1" applyFont="1" applyFill="1" applyBorder="1" applyAlignment="1">
      <alignment horizontal="left"/>
    </xf>
    <xf numFmtId="0" fontId="6" fillId="0" borderId="17" xfId="0" applyFont="1" applyBorder="1" applyAlignment="1">
      <alignment horizontal="left" vertical="top" wrapText="1"/>
    </xf>
    <xf numFmtId="49" fontId="5" fillId="0" borderId="1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0" xfId="0" applyFont="1" applyBorder="1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4" fontId="8" fillId="0" borderId="38" xfId="0" applyNumberFormat="1" applyFont="1" applyFill="1" applyBorder="1" applyAlignment="1">
      <alignment horizontal="left" vertical="top" wrapText="1"/>
    </xf>
    <xf numFmtId="165" fontId="7" fillId="0" borderId="31" xfId="0" applyNumberFormat="1" applyFont="1" applyFill="1" applyBorder="1" applyAlignment="1">
      <alignment horizontal="left"/>
    </xf>
    <xf numFmtId="165" fontId="7" fillId="0" borderId="30" xfId="0" applyNumberFormat="1" applyFont="1" applyFill="1" applyBorder="1"/>
    <xf numFmtId="165" fontId="7" fillId="0" borderId="31" xfId="0" applyNumberFormat="1" applyFont="1" applyFill="1" applyBorder="1"/>
    <xf numFmtId="165" fontId="5" fillId="0" borderId="36" xfId="0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0" fillId="0" borderId="0" xfId="0" applyNumberFormat="1"/>
    <xf numFmtId="0" fontId="3" fillId="2" borderId="2" xfId="0" applyFont="1" applyFill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15" xfId="0" applyNumberFormat="1" applyFont="1" applyFill="1" applyBorder="1" applyAlignment="1">
      <alignment horizontal="center" vertical="center" wrapText="1"/>
    </xf>
    <xf numFmtId="44" fontId="5" fillId="0" borderId="17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top" wrapText="1"/>
    </xf>
    <xf numFmtId="0" fontId="2" fillId="0" borderId="0" xfId="0" applyFont="1" applyFill="1" applyBorder="1"/>
    <xf numFmtId="166" fontId="5" fillId="0" borderId="38" xfId="0" applyNumberFormat="1" applyFont="1" applyFill="1" applyBorder="1" applyAlignment="1">
      <alignment horizontal="left" vertical="center" wrapText="1"/>
    </xf>
    <xf numFmtId="164" fontId="7" fillId="0" borderId="19" xfId="0" applyNumberFormat="1" applyFont="1" applyBorder="1" applyAlignment="1">
      <alignment horizontal="center"/>
    </xf>
    <xf numFmtId="164" fontId="7" fillId="0" borderId="38" xfId="0" applyNumberFormat="1" applyFont="1" applyFill="1" applyBorder="1" applyAlignment="1">
      <alignment horizontal="center"/>
    </xf>
    <xf numFmtId="0" fontId="2" fillId="0" borderId="31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2" fillId="0" borderId="2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2" fillId="0" borderId="0" xfId="0" applyFont="1" applyFill="1"/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6" fillId="0" borderId="17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center"/>
    </xf>
    <xf numFmtId="167" fontId="7" fillId="0" borderId="17" xfId="0" applyNumberFormat="1" applyFont="1" applyFill="1" applyBorder="1" applyAlignment="1">
      <alignment horizontal="center" vertical="top" wrapText="1"/>
    </xf>
    <xf numFmtId="165" fontId="7" fillId="0" borderId="17" xfId="0" applyNumberFormat="1" applyFont="1" applyFill="1" applyBorder="1" applyAlignment="1">
      <alignment horizontal="left"/>
    </xf>
    <xf numFmtId="165" fontId="7" fillId="0" borderId="17" xfId="0" applyNumberFormat="1" applyFont="1" applyFill="1" applyBorder="1"/>
    <xf numFmtId="164" fontId="7" fillId="0" borderId="17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vertical="top" wrapText="1"/>
    </xf>
    <xf numFmtId="0" fontId="2" fillId="0" borderId="5" xfId="0" applyFont="1" applyFill="1" applyBorder="1"/>
    <xf numFmtId="0" fontId="2" fillId="0" borderId="22" xfId="0" applyFont="1" applyFill="1" applyBorder="1"/>
    <xf numFmtId="0" fontId="5" fillId="0" borderId="23" xfId="0" applyFont="1" applyFill="1" applyBorder="1" applyAlignment="1">
      <alignment horizontal="left" vertical="center" wrapText="1"/>
    </xf>
    <xf numFmtId="165" fontId="12" fillId="0" borderId="13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left" vertical="center" wrapText="1"/>
    </xf>
    <xf numFmtId="165" fontId="12" fillId="0" borderId="33" xfId="0" applyNumberFormat="1" applyFont="1" applyFill="1" applyBorder="1" applyAlignment="1">
      <alignment horizontal="center"/>
    </xf>
    <xf numFmtId="0" fontId="5" fillId="0" borderId="0" xfId="0" applyFont="1" applyFill="1"/>
    <xf numFmtId="165" fontId="2" fillId="0" borderId="0" xfId="0" applyNumberFormat="1" applyFont="1" applyFill="1"/>
    <xf numFmtId="0" fontId="2" fillId="0" borderId="17" xfId="0" applyFont="1" applyFill="1" applyBorder="1"/>
    <xf numFmtId="0" fontId="2" fillId="0" borderId="17" xfId="0" applyFont="1" applyFill="1" applyBorder="1" applyAlignment="1">
      <alignment horizontal="center"/>
    </xf>
    <xf numFmtId="164" fontId="2" fillId="0" borderId="17" xfId="0" applyNumberFormat="1" applyFont="1" applyFill="1" applyBorder="1"/>
    <xf numFmtId="168" fontId="2" fillId="0" borderId="17" xfId="0" applyNumberFormat="1" applyFont="1" applyFill="1" applyBorder="1"/>
    <xf numFmtId="165" fontId="2" fillId="0" borderId="17" xfId="0" applyNumberFormat="1" applyFont="1" applyFill="1" applyBorder="1"/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164" fontId="2" fillId="0" borderId="38" xfId="0" applyNumberFormat="1" applyFont="1" applyFill="1" applyBorder="1"/>
    <xf numFmtId="168" fontId="2" fillId="0" borderId="31" xfId="0" applyNumberFormat="1" applyFont="1" applyFill="1" applyBorder="1"/>
    <xf numFmtId="165" fontId="2" fillId="0" borderId="31" xfId="0" applyNumberFormat="1" applyFont="1" applyFill="1" applyBorder="1"/>
    <xf numFmtId="0" fontId="5" fillId="0" borderId="28" xfId="0" applyFont="1" applyFill="1" applyBorder="1" applyAlignment="1">
      <alignment horizontal="left" vertical="center" wrapText="1"/>
    </xf>
    <xf numFmtId="165" fontId="5" fillId="0" borderId="29" xfId="0" applyNumberFormat="1" applyFont="1" applyFill="1" applyBorder="1" applyAlignment="1">
      <alignment horizontal="center"/>
    </xf>
    <xf numFmtId="165" fontId="5" fillId="0" borderId="21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wrapText="1"/>
    </xf>
    <xf numFmtId="0" fontId="7" fillId="0" borderId="17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wrapText="1"/>
    </xf>
    <xf numFmtId="0" fontId="7" fillId="0" borderId="0" xfId="0" applyFont="1" applyFill="1" applyAlignment="1">
      <alignment horizontal="left" wrapText="1"/>
    </xf>
    <xf numFmtId="0" fontId="7" fillId="0" borderId="17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14" xfId="0" applyFont="1" applyBorder="1" applyAlignment="1">
      <alignment horizontal="left" vertical="top"/>
    </xf>
    <xf numFmtId="165" fontId="7" fillId="0" borderId="15" xfId="0" applyNumberFormat="1" applyFont="1" applyBorder="1" applyAlignment="1">
      <alignment horizontal="left"/>
    </xf>
    <xf numFmtId="164" fontId="7" fillId="0" borderId="38" xfId="0" applyNumberFormat="1" applyFont="1" applyBorder="1" applyAlignment="1">
      <alignment horizontal="left"/>
    </xf>
    <xf numFmtId="0" fontId="0" fillId="0" borderId="0" xfId="0"/>
    <xf numFmtId="0" fontId="0" fillId="0" borderId="0" xfId="0" applyFill="1"/>
    <xf numFmtId="0" fontId="3" fillId="0" borderId="2" xfId="0" applyFont="1" applyFill="1" applyBorder="1"/>
    <xf numFmtId="0" fontId="7" fillId="0" borderId="17" xfId="0" applyFont="1" applyFill="1" applyBorder="1" applyAlignment="1">
      <alignment horizontal="left"/>
    </xf>
    <xf numFmtId="165" fontId="9" fillId="0" borderId="17" xfId="0" applyNumberFormat="1" applyFont="1" applyFill="1" applyBorder="1"/>
    <xf numFmtId="165" fontId="5" fillId="0" borderId="17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/>
    </xf>
    <xf numFmtId="165" fontId="2" fillId="0" borderId="17" xfId="0" applyNumberFormat="1" applyFont="1" applyFill="1" applyBorder="1" applyAlignment="1">
      <alignment vertical="center"/>
    </xf>
    <xf numFmtId="0" fontId="2" fillId="0" borderId="25" xfId="0" applyFont="1" applyFill="1" applyBorder="1"/>
    <xf numFmtId="0" fontId="2" fillId="0" borderId="21" xfId="0" applyFont="1" applyFill="1" applyBorder="1"/>
    <xf numFmtId="0" fontId="2" fillId="0" borderId="20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27" xfId="0" applyFont="1" applyFill="1" applyBorder="1"/>
    <xf numFmtId="165" fontId="5" fillId="0" borderId="28" xfId="0" applyNumberFormat="1" applyFont="1" applyFill="1" applyBorder="1" applyAlignment="1">
      <alignment horizontal="center"/>
    </xf>
    <xf numFmtId="165" fontId="5" fillId="0" borderId="30" xfId="0" applyNumberFormat="1" applyFont="1" applyFill="1" applyBorder="1" applyAlignment="1">
      <alignment horizontal="center"/>
    </xf>
    <xf numFmtId="165" fontId="5" fillId="0" borderId="31" xfId="0" applyNumberFormat="1" applyFont="1" applyFill="1" applyBorder="1" applyAlignment="1">
      <alignment horizontal="center"/>
    </xf>
    <xf numFmtId="165" fontId="5" fillId="0" borderId="24" xfId="0" applyNumberFormat="1" applyFont="1" applyFill="1" applyBorder="1" applyAlignment="1">
      <alignment horizontal="center"/>
    </xf>
    <xf numFmtId="165" fontId="7" fillId="0" borderId="47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/>
    </xf>
    <xf numFmtId="0" fontId="7" fillId="0" borderId="47" xfId="0" applyFont="1" applyBorder="1" applyAlignment="1">
      <alignment horizontal="center"/>
    </xf>
    <xf numFmtId="164" fontId="7" fillId="0" borderId="47" xfId="0" applyNumberFormat="1" applyFont="1" applyBorder="1" applyAlignment="1">
      <alignment horizontal="left"/>
    </xf>
    <xf numFmtId="165" fontId="5" fillId="0" borderId="47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49" fontId="5" fillId="0" borderId="47" xfId="0" applyNumberFormat="1" applyFont="1" applyBorder="1" applyAlignment="1">
      <alignment horizontal="center" vertical="center" wrapText="1"/>
    </xf>
    <xf numFmtId="165" fontId="7" fillId="0" borderId="47" xfId="0" applyNumberFormat="1" applyFont="1" applyBorder="1"/>
    <xf numFmtId="0" fontId="7" fillId="0" borderId="0" xfId="0" applyFont="1" applyBorder="1" applyAlignment="1">
      <alignment horizontal="left" vertical="top"/>
    </xf>
    <xf numFmtId="165" fontId="7" fillId="0" borderId="36" xfId="0" applyNumberFormat="1" applyFont="1" applyBorder="1" applyAlignment="1">
      <alignment horizontal="left"/>
    </xf>
    <xf numFmtId="165" fontId="7" fillId="0" borderId="49" xfId="0" applyNumberFormat="1" applyFont="1" applyFill="1" applyBorder="1"/>
    <xf numFmtId="0" fontId="7" fillId="0" borderId="17" xfId="0" applyFont="1" applyFill="1" applyBorder="1"/>
    <xf numFmtId="0" fontId="6" fillId="0" borderId="16" xfId="0" applyFont="1" applyFill="1" applyBorder="1" applyAlignment="1">
      <alignment horizontal="left" vertical="top" wrapText="1"/>
    </xf>
    <xf numFmtId="165" fontId="7" fillId="0" borderId="17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/>
    </xf>
    <xf numFmtId="165" fontId="9" fillId="0" borderId="0" xfId="0" applyNumberFormat="1" applyFont="1" applyFill="1"/>
    <xf numFmtId="165" fontId="7" fillId="0" borderId="8" xfId="0" applyNumberFormat="1" applyFont="1" applyFill="1" applyBorder="1"/>
    <xf numFmtId="165" fontId="7" fillId="0" borderId="19" xfId="0" applyNumberFormat="1" applyFont="1" applyFill="1" applyBorder="1"/>
    <xf numFmtId="165" fontId="7" fillId="0" borderId="19" xfId="0" applyNumberFormat="1" applyFont="1" applyFill="1" applyBorder="1" applyAlignment="1">
      <alignment horizontal="left"/>
    </xf>
    <xf numFmtId="0" fontId="10" fillId="0" borderId="16" xfId="0" applyFont="1" applyFill="1" applyBorder="1"/>
    <xf numFmtId="14" fontId="7" fillId="0" borderId="11" xfId="0" applyNumberFormat="1" applyFont="1" applyFill="1" applyBorder="1" applyAlignment="1">
      <alignment horizontal="center"/>
    </xf>
    <xf numFmtId="164" fontId="8" fillId="0" borderId="17" xfId="0" applyNumberFormat="1" applyFont="1" applyFill="1" applyBorder="1" applyAlignment="1">
      <alignment horizontal="left" vertical="top" wrapText="1"/>
    </xf>
    <xf numFmtId="165" fontId="7" fillId="0" borderId="14" xfId="0" applyNumberFormat="1" applyFont="1" applyFill="1" applyBorder="1"/>
    <xf numFmtId="165" fontId="7" fillId="0" borderId="41" xfId="0" applyNumberFormat="1" applyFont="1" applyFill="1" applyBorder="1" applyAlignment="1">
      <alignment horizontal="left"/>
    </xf>
    <xf numFmtId="0" fontId="7" fillId="0" borderId="19" xfId="0" applyFont="1" applyBorder="1" applyAlignment="1">
      <alignment horizontal="left" wrapText="1"/>
    </xf>
    <xf numFmtId="164" fontId="8" fillId="0" borderId="8" xfId="0" applyNumberFormat="1" applyFont="1" applyBorder="1" applyAlignment="1">
      <alignment horizontal="left" vertical="top" wrapText="1"/>
    </xf>
    <xf numFmtId="0" fontId="6" fillId="0" borderId="47" xfId="0" applyFont="1" applyFill="1" applyBorder="1" applyAlignment="1">
      <alignment horizontal="left" vertical="top" wrapText="1"/>
    </xf>
    <xf numFmtId="0" fontId="7" fillId="0" borderId="47" xfId="0" applyFont="1" applyFill="1" applyBorder="1" applyAlignment="1">
      <alignment horizontal="left"/>
    </xf>
    <xf numFmtId="0" fontId="7" fillId="0" borderId="47" xfId="0" applyFont="1" applyFill="1" applyBorder="1" applyAlignment="1">
      <alignment horizontal="center"/>
    </xf>
    <xf numFmtId="164" fontId="8" fillId="0" borderId="47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165" fontId="7" fillId="0" borderId="47" xfId="0" applyNumberFormat="1" applyFont="1" applyFill="1" applyBorder="1" applyAlignment="1">
      <alignment horizontal="left"/>
    </xf>
    <xf numFmtId="44" fontId="5" fillId="0" borderId="41" xfId="0" applyNumberFormat="1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left"/>
    </xf>
    <xf numFmtId="0" fontId="7" fillId="0" borderId="19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7" fillId="0" borderId="35" xfId="0" applyNumberFormat="1" applyFont="1" applyFill="1" applyBorder="1" applyAlignment="1">
      <alignment horizontal="left"/>
    </xf>
    <xf numFmtId="44" fontId="5" fillId="0" borderId="17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/>
    </xf>
    <xf numFmtId="165" fontId="9" fillId="0" borderId="31" xfId="0" applyNumberFormat="1" applyFont="1" applyFill="1" applyBorder="1"/>
    <xf numFmtId="165" fontId="5" fillId="0" borderId="31" xfId="0" applyNumberFormat="1" applyFont="1" applyFill="1" applyBorder="1" applyAlignment="1">
      <alignment horizontal="center" vertical="center" wrapText="1"/>
    </xf>
    <xf numFmtId="165" fontId="5" fillId="0" borderId="34" xfId="0" applyNumberFormat="1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left"/>
    </xf>
    <xf numFmtId="0" fontId="6" fillId="0" borderId="19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/>
    </xf>
    <xf numFmtId="164" fontId="7" fillId="0" borderId="19" xfId="0" applyNumberFormat="1" applyFont="1" applyFill="1" applyBorder="1" applyAlignment="1">
      <alignment horizontal="left"/>
    </xf>
    <xf numFmtId="165" fontId="7" fillId="0" borderId="8" xfId="0" applyNumberFormat="1" applyFont="1" applyFill="1" applyBorder="1" applyAlignment="1">
      <alignment horizontal="left"/>
    </xf>
    <xf numFmtId="165" fontId="5" fillId="0" borderId="24" xfId="0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wrapText="1"/>
    </xf>
    <xf numFmtId="0" fontId="2" fillId="0" borderId="19" xfId="0" applyFont="1" applyFill="1" applyBorder="1"/>
    <xf numFmtId="165" fontId="13" fillId="0" borderId="13" xfId="0" applyNumberFormat="1" applyFont="1" applyFill="1" applyBorder="1" applyAlignment="1">
      <alignment horizontal="center"/>
    </xf>
    <xf numFmtId="165" fontId="13" fillId="0" borderId="33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2" xfId="0" applyFont="1" applyFill="1" applyBorder="1"/>
    <xf numFmtId="164" fontId="8" fillId="0" borderId="14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165" fontId="7" fillId="0" borderId="20" xfId="0" applyNumberFormat="1" applyFont="1" applyFill="1" applyBorder="1" applyAlignment="1">
      <alignment horizontal="left"/>
    </xf>
    <xf numFmtId="0" fontId="6" fillId="0" borderId="21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/>
    </xf>
    <xf numFmtId="165" fontId="9" fillId="0" borderId="14" xfId="0" applyNumberFormat="1" applyFont="1" applyFill="1" applyBorder="1"/>
    <xf numFmtId="49" fontId="5" fillId="0" borderId="14" xfId="0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40" xfId="0" applyFont="1" applyFill="1" applyBorder="1"/>
    <xf numFmtId="0" fontId="11" fillId="0" borderId="0" xfId="0" applyFont="1" applyFill="1"/>
    <xf numFmtId="0" fontId="3" fillId="0" borderId="2" xfId="0" applyFont="1" applyFill="1" applyBorder="1"/>
    <xf numFmtId="0" fontId="0" fillId="0" borderId="0" xfId="0" applyFill="1"/>
    <xf numFmtId="44" fontId="0" fillId="0" borderId="0" xfId="0" applyNumberFormat="1" applyFill="1"/>
    <xf numFmtId="0" fontId="7" fillId="0" borderId="17" xfId="0" applyFont="1" applyFill="1" applyBorder="1" applyAlignment="1">
      <alignment horizontal="left" vertical="center"/>
    </xf>
    <xf numFmtId="0" fontId="7" fillId="0" borderId="18" xfId="0" applyFont="1" applyFill="1" applyBorder="1"/>
    <xf numFmtId="0" fontId="2" fillId="0" borderId="17" xfId="0" applyFont="1" applyFill="1" applyBorder="1" applyAlignment="1">
      <alignment horizontal="left" vertical="center" wrapText="1"/>
    </xf>
    <xf numFmtId="0" fontId="0" fillId="0" borderId="0" xfId="0" applyFill="1"/>
    <xf numFmtId="44" fontId="0" fillId="0" borderId="0" xfId="0" applyNumberFormat="1"/>
    <xf numFmtId="165" fontId="0" fillId="0" borderId="0" xfId="0" applyNumberFormat="1" applyFill="1"/>
    <xf numFmtId="0" fontId="7" fillId="0" borderId="14" xfId="0" applyFont="1" applyFill="1" applyBorder="1" applyAlignment="1">
      <alignment wrapText="1"/>
    </xf>
    <xf numFmtId="0" fontId="7" fillId="0" borderId="14" xfId="0" applyFont="1" applyBorder="1" applyAlignment="1">
      <alignment horizontal="left" vertical="top" wrapText="1"/>
    </xf>
    <xf numFmtId="0" fontId="0" fillId="0" borderId="0" xfId="0" applyFill="1"/>
    <xf numFmtId="0" fontId="3" fillId="0" borderId="2" xfId="0" applyFont="1" applyFill="1" applyBorder="1"/>
    <xf numFmtId="0" fontId="0" fillId="0" borderId="0" xfId="0"/>
    <xf numFmtId="0" fontId="0" fillId="0" borderId="0" xfId="0"/>
    <xf numFmtId="0" fontId="7" fillId="0" borderId="42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4" fontId="7" fillId="0" borderId="8" xfId="0" applyNumberFormat="1" applyFont="1" applyBorder="1"/>
    <xf numFmtId="165" fontId="7" fillId="0" borderId="8" xfId="0" applyNumberFormat="1" applyFont="1" applyBorder="1"/>
    <xf numFmtId="4" fontId="7" fillId="0" borderId="31" xfId="0" applyNumberFormat="1" applyFont="1" applyBorder="1"/>
    <xf numFmtId="164" fontId="7" fillId="0" borderId="47" xfId="0" applyNumberFormat="1" applyFont="1" applyBorder="1" applyAlignment="1">
      <alignment horizontal="center"/>
    </xf>
    <xf numFmtId="4" fontId="7" fillId="0" borderId="47" xfId="0" applyNumberFormat="1" applyFont="1" applyBorder="1"/>
    <xf numFmtId="0" fontId="10" fillId="0" borderId="18" xfId="0" applyFont="1" applyBorder="1"/>
    <xf numFmtId="14" fontId="7" fillId="0" borderId="43" xfId="0" applyNumberFormat="1" applyFont="1" applyBorder="1" applyAlignment="1">
      <alignment horizontal="center"/>
    </xf>
    <xf numFmtId="0" fontId="7" fillId="0" borderId="47" xfId="0" applyFont="1" applyBorder="1"/>
    <xf numFmtId="0" fontId="7" fillId="0" borderId="47" xfId="0" applyFont="1" applyBorder="1" applyAlignment="1">
      <alignment horizontal="left" wrapText="1"/>
    </xf>
    <xf numFmtId="14" fontId="7" fillId="0" borderId="47" xfId="0" applyNumberFormat="1" applyFont="1" applyBorder="1" applyAlignment="1">
      <alignment horizontal="center"/>
    </xf>
    <xf numFmtId="44" fontId="0" fillId="0" borderId="0" xfId="1" applyFont="1"/>
    <xf numFmtId="0" fontId="5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4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2" borderId="2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left"/>
    </xf>
    <xf numFmtId="0" fontId="4" fillId="0" borderId="5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5" fillId="2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/>
    </xf>
    <xf numFmtId="165" fontId="5" fillId="2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44" xfId="0" applyFont="1" applyFill="1" applyBorder="1"/>
    <xf numFmtId="0" fontId="4" fillId="0" borderId="11" xfId="0" applyFont="1" applyFill="1" applyBorder="1" applyAlignment="1">
      <alignment wrapText="1"/>
    </xf>
    <xf numFmtId="0" fontId="4" fillId="0" borderId="43" xfId="0" applyFont="1" applyFill="1" applyBorder="1"/>
    <xf numFmtId="0" fontId="4" fillId="0" borderId="42" xfId="0" applyFont="1" applyFill="1" applyBorder="1"/>
    <xf numFmtId="0" fontId="4" fillId="0" borderId="43" xfId="0" applyFont="1" applyFill="1" applyBorder="1" applyAlignment="1">
      <alignment wrapText="1"/>
    </xf>
    <xf numFmtId="0" fontId="5" fillId="2" borderId="45" xfId="0" applyFont="1" applyFill="1" applyBorder="1" applyAlignment="1">
      <alignment horizontal="center" vertical="center" wrapText="1"/>
    </xf>
    <xf numFmtId="0" fontId="4" fillId="0" borderId="46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="60" zoomScaleNormal="60" zoomScaleSheetLayoutView="90" workbookViewId="0">
      <selection activeCell="D35" sqref="D35"/>
    </sheetView>
  </sheetViews>
  <sheetFormatPr baseColWidth="10" defaultColWidth="11.42578125" defaultRowHeight="15"/>
  <cols>
    <col min="1" max="1" width="23" style="277" customWidth="1"/>
    <col min="2" max="2" width="19.85546875" style="277" customWidth="1"/>
    <col min="3" max="3" width="11.42578125" style="277"/>
    <col min="4" max="4" width="11.28515625" style="277" customWidth="1"/>
    <col min="5" max="5" width="19.42578125" style="277" customWidth="1"/>
    <col min="6" max="6" width="14.42578125" style="277" customWidth="1"/>
    <col min="7" max="7" width="14.85546875" style="277" bestFit="1" customWidth="1"/>
    <col min="8" max="8" width="19.140625" style="277" bestFit="1" customWidth="1"/>
    <col min="9" max="9" width="16.42578125" style="277" customWidth="1"/>
    <col min="10" max="10" width="15.42578125" style="277" customWidth="1"/>
    <col min="11" max="11" width="17.42578125" style="277" customWidth="1"/>
    <col min="12" max="12" width="19.140625" style="277" customWidth="1"/>
    <col min="13" max="13" width="19.28515625" style="277" customWidth="1"/>
    <col min="14" max="16384" width="11.42578125" style="277"/>
  </cols>
  <sheetData>
    <row r="1" spans="1:13" ht="15.75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5.75" thickBo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>
      <c r="A3" s="136" t="s">
        <v>1</v>
      </c>
      <c r="B3" s="278"/>
      <c r="C3" s="138"/>
      <c r="D3" s="278"/>
      <c r="E3" s="278"/>
      <c r="F3" s="278"/>
      <c r="G3" s="278"/>
      <c r="H3" s="278"/>
      <c r="I3" s="325" t="s">
        <v>35</v>
      </c>
      <c r="J3" s="326"/>
      <c r="K3" s="326"/>
      <c r="L3" s="326"/>
      <c r="M3" s="327"/>
    </row>
    <row r="4" spans="1:13" ht="15.75" thickBot="1">
      <c r="A4" s="328" t="s">
        <v>3</v>
      </c>
      <c r="B4" s="329"/>
      <c r="C4" s="329"/>
      <c r="D4" s="329"/>
      <c r="E4" s="141"/>
      <c r="F4" s="141"/>
      <c r="G4" s="141"/>
      <c r="H4" s="141"/>
      <c r="I4" s="141"/>
      <c r="J4" s="141"/>
      <c r="K4" s="141"/>
      <c r="L4" s="141"/>
      <c r="M4" s="142"/>
    </row>
    <row r="5" spans="1:13" ht="15.75" thickBo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>
      <c r="A6" s="330" t="s">
        <v>4</v>
      </c>
      <c r="B6" s="332" t="s">
        <v>5</v>
      </c>
      <c r="C6" s="332" t="s">
        <v>6</v>
      </c>
      <c r="D6" s="332" t="s">
        <v>7</v>
      </c>
      <c r="E6" s="332" t="s">
        <v>8</v>
      </c>
      <c r="F6" s="332" t="s">
        <v>9</v>
      </c>
      <c r="G6" s="332" t="s">
        <v>10</v>
      </c>
      <c r="H6" s="332" t="s">
        <v>11</v>
      </c>
      <c r="I6" s="332" t="s">
        <v>12</v>
      </c>
      <c r="J6" s="332" t="s">
        <v>13</v>
      </c>
      <c r="K6" s="332" t="s">
        <v>14</v>
      </c>
      <c r="L6" s="332" t="s">
        <v>15</v>
      </c>
      <c r="M6" s="321" t="s">
        <v>16</v>
      </c>
    </row>
    <row r="7" spans="1:13" ht="15.75" thickBot="1">
      <c r="A7" s="331"/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22"/>
    </row>
    <row r="8" spans="1:13" ht="15.75" thickBot="1">
      <c r="A8" s="143"/>
      <c r="B8" s="143"/>
      <c r="C8" s="154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9" spans="1:13" ht="24.75" thickBot="1">
      <c r="A9" s="270" t="s">
        <v>17</v>
      </c>
      <c r="B9" s="271" t="s">
        <v>18</v>
      </c>
      <c r="C9" s="272" t="s">
        <v>19</v>
      </c>
      <c r="D9" s="279">
        <v>45536</v>
      </c>
      <c r="E9" s="253">
        <f>17928.15*2</f>
        <v>35856.300000000003</v>
      </c>
      <c r="F9" s="253">
        <v>2192</v>
      </c>
      <c r="G9" s="253">
        <f>E9/30.4*40</f>
        <v>47179.342105263167</v>
      </c>
      <c r="H9" s="253">
        <v>9540.73</v>
      </c>
      <c r="I9" s="253">
        <f>E9/30.4*20*0.25</f>
        <v>5897.4177631578959</v>
      </c>
      <c r="J9" s="253"/>
      <c r="K9" s="253">
        <v>654.44000000000005</v>
      </c>
      <c r="L9" s="253">
        <f>3302.49</f>
        <v>3302.49</v>
      </c>
      <c r="M9" s="128">
        <f>+((E9+F9)/2)-K9-L9</f>
        <v>15067.220000000003</v>
      </c>
    </row>
    <row r="10" spans="1:13" ht="15.75" thickBot="1">
      <c r="A10" s="231" t="s">
        <v>63</v>
      </c>
      <c r="B10" s="201" t="s">
        <v>20</v>
      </c>
      <c r="C10" s="156" t="s">
        <v>19</v>
      </c>
      <c r="D10" s="279">
        <v>45536</v>
      </c>
      <c r="E10" s="158">
        <f>9051.37*2</f>
        <v>18102.740000000002</v>
      </c>
      <c r="F10" s="158"/>
      <c r="G10" s="158">
        <f>E10/30.4*40</f>
        <v>23819.39473684211</v>
      </c>
      <c r="H10" s="158">
        <v>2648.81</v>
      </c>
      <c r="I10" s="158">
        <f>912.17*2</f>
        <v>1824.34</v>
      </c>
      <c r="J10" s="158"/>
      <c r="K10" s="158">
        <v>298.49</v>
      </c>
      <c r="L10" s="253">
        <v>1302.48</v>
      </c>
      <c r="M10" s="128">
        <f>+((E10+F10)/2)-K10-L10</f>
        <v>7450.4000000000015</v>
      </c>
    </row>
    <row r="11" spans="1:13" ht="24.75" thickBot="1">
      <c r="A11" s="231" t="s">
        <v>21</v>
      </c>
      <c r="B11" s="201" t="s">
        <v>22</v>
      </c>
      <c r="C11" s="156" t="s">
        <v>23</v>
      </c>
      <c r="D11" s="279">
        <v>45536</v>
      </c>
      <c r="E11" s="158">
        <f>4536.65*2</f>
        <v>9073.2999999999993</v>
      </c>
      <c r="F11" s="158">
        <v>500</v>
      </c>
      <c r="G11" s="158">
        <f>E11/30.4*40</f>
        <v>11938.552631578948</v>
      </c>
      <c r="H11" s="158">
        <v>561.49</v>
      </c>
      <c r="I11" s="158">
        <f>E11/30.4*20*0.25</f>
        <v>1492.3190789473686</v>
      </c>
      <c r="J11" s="158"/>
      <c r="K11" s="158">
        <v>136.96</v>
      </c>
      <c r="L11" s="253">
        <v>336.16</v>
      </c>
      <c r="M11" s="128">
        <f>+(E11/2)-K11-L11</f>
        <v>4063.5299999999997</v>
      </c>
    </row>
    <row r="12" spans="1:13" ht="15.75" thickBot="1">
      <c r="A12" s="280" t="s">
        <v>24</v>
      </c>
      <c r="B12" s="266" t="s">
        <v>25</v>
      </c>
      <c r="C12" s="254" t="s">
        <v>23</v>
      </c>
      <c r="D12" s="279">
        <v>45658</v>
      </c>
      <c r="E12" s="158">
        <v>12012.42</v>
      </c>
      <c r="F12" s="158"/>
      <c r="G12" s="158">
        <f>E12/30.4*40</f>
        <v>15805.815789473687</v>
      </c>
      <c r="H12" s="281">
        <v>1590.08</v>
      </c>
      <c r="I12" s="158">
        <f>E12/30.4*20*0.25</f>
        <v>1975.7269736842109</v>
      </c>
      <c r="J12" s="158"/>
      <c r="K12" s="158"/>
      <c r="L12" s="253">
        <v>517.33000000000004</v>
      </c>
      <c r="M12" s="128">
        <f t="shared" ref="M12" si="0">+(E12/2)-K12-L12</f>
        <v>5488.88</v>
      </c>
    </row>
    <row r="13" spans="1:13" ht="15.75" thickBot="1">
      <c r="A13" s="282" t="s">
        <v>26</v>
      </c>
      <c r="B13" s="283" t="s">
        <v>27</v>
      </c>
      <c r="C13" s="284" t="s">
        <v>19</v>
      </c>
      <c r="D13" s="279">
        <v>45536</v>
      </c>
      <c r="E13" s="281">
        <f>6009.17*2</f>
        <v>12018.34</v>
      </c>
      <c r="F13" s="281"/>
      <c r="G13" s="281">
        <f>E13/30.4*40</f>
        <v>15813.605263157895</v>
      </c>
      <c r="H13" s="281">
        <v>1600.28</v>
      </c>
      <c r="I13" s="281">
        <f>E13/30.4*20*0.25</f>
        <v>1976.7006578947369</v>
      </c>
      <c r="J13" s="281"/>
      <c r="K13" s="281">
        <v>219.19</v>
      </c>
      <c r="L13" s="281">
        <f>516.84</f>
        <v>516.84</v>
      </c>
      <c r="M13" s="128">
        <f>+(E13/2)-K13-L13</f>
        <v>5273.14</v>
      </c>
    </row>
    <row r="14" spans="1:13" ht="15.75" thickBot="1">
      <c r="A14" s="143"/>
      <c r="B14" s="143"/>
      <c r="C14" s="154"/>
      <c r="D14" s="162"/>
      <c r="E14" s="162"/>
      <c r="F14" s="162"/>
      <c r="G14" s="162"/>
      <c r="H14" s="162"/>
      <c r="I14" s="162"/>
      <c r="J14" s="162"/>
      <c r="K14" s="162"/>
      <c r="L14" s="162"/>
      <c r="M14" s="162"/>
    </row>
    <row r="15" spans="1:13" ht="25.5">
      <c r="A15" s="143"/>
      <c r="B15" s="143"/>
      <c r="C15" s="163"/>
      <c r="D15" s="164" t="s">
        <v>28</v>
      </c>
      <c r="E15" s="233">
        <f>SUM(E9:E13)</f>
        <v>87063.1</v>
      </c>
      <c r="F15" s="233">
        <f>SUM(F9:F13)</f>
        <v>2692</v>
      </c>
      <c r="G15" s="233">
        <f>+G16/12</f>
        <v>9546.3925438596507</v>
      </c>
      <c r="H15" s="233">
        <f>+H16/12</f>
        <v>1328.4491666666665</v>
      </c>
      <c r="I15" s="233">
        <f>+I16/2</f>
        <v>6583.2522368421069</v>
      </c>
      <c r="J15" s="233">
        <f>+J9</f>
        <v>0</v>
      </c>
      <c r="K15" s="233">
        <f>SUM(K9:K13)*2</f>
        <v>2618.1600000000003</v>
      </c>
      <c r="L15" s="233">
        <f>SUM(L9:L13)*2</f>
        <v>11950.599999999999</v>
      </c>
      <c r="M15" s="233">
        <f>SUM(M9:M13)*2</f>
        <v>74686.340000000011</v>
      </c>
    </row>
    <row r="16" spans="1:13" ht="26.25" thickBot="1">
      <c r="A16" s="143"/>
      <c r="B16" s="143"/>
      <c r="C16" s="143"/>
      <c r="D16" s="166" t="s">
        <v>29</v>
      </c>
      <c r="E16" s="182">
        <f>+E15*12</f>
        <v>1044757.2000000001</v>
      </c>
      <c r="F16" s="182">
        <f>+F15*12</f>
        <v>32304</v>
      </c>
      <c r="G16" s="182">
        <f>SUM(G9:G13)</f>
        <v>114556.71052631582</v>
      </c>
      <c r="H16" s="182">
        <f>SUM(H9:H13)</f>
        <v>15941.39</v>
      </c>
      <c r="I16" s="182">
        <f>SUM(I9:I13)</f>
        <v>13166.504473684214</v>
      </c>
      <c r="J16" s="182">
        <f>+J15*12</f>
        <v>0</v>
      </c>
      <c r="K16" s="182">
        <f t="shared" ref="K16:L16" si="1">+K15*12</f>
        <v>31417.920000000006</v>
      </c>
      <c r="L16" s="182">
        <f t="shared" si="1"/>
        <v>143407.19999999998</v>
      </c>
      <c r="M16" s="182">
        <f>+M15*12</f>
        <v>896236.08000000007</v>
      </c>
    </row>
    <row r="17" spans="1:13">
      <c r="A17" s="168" t="s">
        <v>30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69"/>
      <c r="M17" s="143"/>
    </row>
    <row r="18" spans="1:13">
      <c r="A18" s="168" t="s">
        <v>31</v>
      </c>
      <c r="B18" s="143"/>
      <c r="C18" s="143"/>
      <c r="D18" s="143"/>
      <c r="E18" s="169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168" t="s">
        <v>32</v>
      </c>
      <c r="B19" s="143"/>
      <c r="C19" s="143"/>
      <c r="D19" s="143"/>
      <c r="E19" s="143"/>
      <c r="F19" s="187"/>
      <c r="G19" s="143"/>
      <c r="H19" s="143"/>
      <c r="I19" s="143"/>
      <c r="J19" s="143"/>
      <c r="K19" s="143"/>
      <c r="L19" s="143"/>
      <c r="M19" s="143"/>
    </row>
    <row r="20" spans="1:13">
      <c r="A20" s="168" t="s">
        <v>33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>
      <c r="A21" s="168" t="s">
        <v>34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5" spans="1:13" ht="15.75">
      <c r="A25" s="323" t="s">
        <v>0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</row>
    <row r="26" spans="1:13" ht="15.75" thickBot="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</row>
    <row r="27" spans="1:13">
      <c r="A27" s="136" t="s">
        <v>1</v>
      </c>
      <c r="B27" s="278"/>
      <c r="C27" s="138"/>
      <c r="D27" s="278"/>
      <c r="E27" s="278"/>
      <c r="F27" s="278"/>
      <c r="G27" s="278"/>
      <c r="H27" s="278"/>
      <c r="I27" s="325" t="s">
        <v>35</v>
      </c>
      <c r="J27" s="326"/>
      <c r="K27" s="326"/>
      <c r="L27" s="326"/>
      <c r="M27" s="327"/>
    </row>
    <row r="28" spans="1:13" ht="15.75" thickBot="1">
      <c r="A28" s="139" t="s">
        <v>40</v>
      </c>
      <c r="B28" s="140"/>
      <c r="C28" s="140"/>
      <c r="D28" s="140"/>
      <c r="E28" s="140"/>
      <c r="F28" s="141"/>
      <c r="G28" s="141"/>
      <c r="H28" s="141"/>
      <c r="I28" s="141"/>
      <c r="J28" s="141"/>
      <c r="K28" s="141"/>
      <c r="L28" s="141"/>
      <c r="M28" s="142"/>
    </row>
    <row r="29" spans="1:13" ht="15.75" thickBot="1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330" t="s">
        <v>4</v>
      </c>
      <c r="B30" s="332" t="s">
        <v>5</v>
      </c>
      <c r="C30" s="332" t="s">
        <v>6</v>
      </c>
      <c r="D30" s="332" t="s">
        <v>7</v>
      </c>
      <c r="E30" s="332" t="s">
        <v>8</v>
      </c>
      <c r="F30" s="332" t="s">
        <v>9</v>
      </c>
      <c r="G30" s="332" t="s">
        <v>10</v>
      </c>
      <c r="H30" s="332" t="s">
        <v>11</v>
      </c>
      <c r="I30" s="332" t="s">
        <v>12</v>
      </c>
      <c r="J30" s="332" t="s">
        <v>13</v>
      </c>
      <c r="K30" s="332" t="s">
        <v>14</v>
      </c>
      <c r="L30" s="332" t="s">
        <v>15</v>
      </c>
      <c r="M30" s="321" t="s">
        <v>16</v>
      </c>
    </row>
    <row r="31" spans="1:13" ht="15.75" thickBot="1">
      <c r="A31" s="331"/>
      <c r="B31" s="333"/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22"/>
    </row>
    <row r="32" spans="1:13" ht="15.75" thickBot="1">
      <c r="A32" s="285" t="s">
        <v>36</v>
      </c>
      <c r="B32" s="201" t="s">
        <v>37</v>
      </c>
      <c r="C32" s="156" t="s">
        <v>19</v>
      </c>
      <c r="D32" s="160">
        <v>45536</v>
      </c>
      <c r="E32" s="158">
        <f>5002.01*2</f>
        <v>10004.02</v>
      </c>
      <c r="F32" s="159">
        <v>0</v>
      </c>
      <c r="G32" s="158">
        <f>E32/30.4*40</f>
        <v>13163.184210526317</v>
      </c>
      <c r="H32" s="158">
        <v>1258.5</v>
      </c>
      <c r="I32" s="158">
        <f>E32/30.4*20*0.25</f>
        <v>1645.3980263157896</v>
      </c>
      <c r="J32" s="159"/>
      <c r="K32" s="203"/>
      <c r="L32" s="158">
        <v>385.58</v>
      </c>
      <c r="M32" s="128">
        <f>+(E32/2)-L32</f>
        <v>4616.43</v>
      </c>
    </row>
    <row r="33" spans="1:13">
      <c r="A33" s="183" t="s">
        <v>38</v>
      </c>
      <c r="B33" s="271" t="s">
        <v>39</v>
      </c>
      <c r="C33" s="156" t="s">
        <v>23</v>
      </c>
      <c r="D33" s="160">
        <v>45581</v>
      </c>
      <c r="E33" s="253">
        <v>6094.12</v>
      </c>
      <c r="F33" s="241"/>
      <c r="G33" s="241">
        <v>8013.3</v>
      </c>
      <c r="H33" s="286">
        <v>557.78</v>
      </c>
      <c r="I33" s="241">
        <f>E33/30.4*20*0.25</f>
        <v>1002.3223684210527</v>
      </c>
      <c r="J33" s="241"/>
      <c r="K33" s="241"/>
      <c r="L33" s="253">
        <v>30.89</v>
      </c>
      <c r="M33" s="128">
        <f>+(E33/2)-L33</f>
        <v>3016.17</v>
      </c>
    </row>
    <row r="34" spans="1:13" ht="15.75" thickBot="1">
      <c r="A34" s="207"/>
      <c r="B34" s="208"/>
      <c r="C34" s="209"/>
      <c r="D34" s="208"/>
      <c r="E34" s="208"/>
      <c r="F34" s="208"/>
      <c r="G34" s="208"/>
      <c r="I34" s="208"/>
      <c r="J34" s="208"/>
      <c r="K34" s="208"/>
      <c r="L34" s="208"/>
      <c r="M34" s="210"/>
    </row>
    <row r="35" spans="1:13" ht="26.25" thickBot="1">
      <c r="A35" s="143"/>
      <c r="B35" s="143"/>
      <c r="C35" s="163"/>
      <c r="D35" s="180" t="s">
        <v>28</v>
      </c>
      <c r="E35" s="181">
        <f>SUM(E32:E34)</f>
        <v>16098.14</v>
      </c>
      <c r="F35" s="181">
        <f t="shared" ref="F35" si="2">SUM(F32:F34)</f>
        <v>0</v>
      </c>
      <c r="G35" s="181">
        <v>0</v>
      </c>
      <c r="H35" s="212">
        <v>0</v>
      </c>
      <c r="I35" s="213">
        <f>I36/2</f>
        <v>1323.8601973684213</v>
      </c>
      <c r="J35" s="181">
        <f>SUM(J33:J34)</f>
        <v>0</v>
      </c>
      <c r="K35" s="181">
        <f>SUM(K33:K34)</f>
        <v>0</v>
      </c>
      <c r="L35" s="128">
        <f>+(L32+L33)*2</f>
        <v>832.93999999999994</v>
      </c>
      <c r="M35" s="128">
        <f>+(M32+M33)*2</f>
        <v>15265.2</v>
      </c>
    </row>
    <row r="36" spans="1:13" ht="26.25" thickBot="1">
      <c r="A36" s="143"/>
      <c r="B36" s="143"/>
      <c r="C36" s="143"/>
      <c r="D36" s="166" t="s">
        <v>29</v>
      </c>
      <c r="E36" s="182">
        <f>+E35*12</f>
        <v>193177.68</v>
      </c>
      <c r="F36" s="182">
        <f>+F35*12</f>
        <v>0</v>
      </c>
      <c r="G36" s="214">
        <f>+G32+G33</f>
        <v>21176.484210526316</v>
      </c>
      <c r="H36" s="214">
        <f>SUM(H32:H34)</f>
        <v>1816.28</v>
      </c>
      <c r="I36" s="214">
        <f>SUM(I32:I34)</f>
        <v>2647.7203947368425</v>
      </c>
      <c r="J36" s="182">
        <f>+J35*12</f>
        <v>0</v>
      </c>
      <c r="K36" s="182">
        <f>+K35*12</f>
        <v>0</v>
      </c>
      <c r="L36" s="182">
        <f>+L35*12</f>
        <v>9995.2799999999988</v>
      </c>
      <c r="M36" s="128">
        <f>+M35*12</f>
        <v>183182.40000000002</v>
      </c>
    </row>
    <row r="37" spans="1:13">
      <c r="A37" s="168" t="s">
        <v>30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</row>
    <row r="38" spans="1:13">
      <c r="A38" s="168" t="s">
        <v>31</v>
      </c>
      <c r="B38" s="143"/>
      <c r="C38" s="143"/>
      <c r="D38" s="143"/>
      <c r="E38" s="169"/>
      <c r="F38" s="143"/>
      <c r="G38" s="143"/>
      <c r="H38" s="143"/>
      <c r="I38" s="143"/>
      <c r="J38" s="143"/>
      <c r="K38" s="143"/>
      <c r="L38" s="143"/>
    </row>
    <row r="39" spans="1:13">
      <c r="A39" s="168" t="s">
        <v>32</v>
      </c>
      <c r="B39" s="143"/>
      <c r="C39" s="143"/>
      <c r="D39" s="143"/>
      <c r="E39" s="169"/>
      <c r="F39" s="143"/>
      <c r="G39" s="143"/>
      <c r="H39" s="143"/>
      <c r="I39" s="143"/>
      <c r="J39" s="143"/>
      <c r="K39" s="143"/>
      <c r="L39" s="143"/>
      <c r="M39" s="277">
        <v>8</v>
      </c>
    </row>
    <row r="40" spans="1:13">
      <c r="A40" s="168" t="s">
        <v>33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</row>
    <row r="41" spans="1:13">
      <c r="A41" s="168" t="s">
        <v>34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</row>
    <row r="45" spans="1:13" ht="15.75">
      <c r="A45" s="323" t="s">
        <v>0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</row>
    <row r="46" spans="1:13" ht="15.75" thickBot="1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</row>
    <row r="47" spans="1:13">
      <c r="A47" s="136" t="s">
        <v>1</v>
      </c>
      <c r="B47" s="278"/>
      <c r="C47" s="138"/>
      <c r="D47" s="278"/>
      <c r="E47" s="278"/>
      <c r="F47" s="278"/>
      <c r="G47" s="278"/>
      <c r="H47" s="278"/>
      <c r="I47" s="325" t="s">
        <v>2</v>
      </c>
      <c r="J47" s="326"/>
      <c r="K47" s="326"/>
      <c r="L47" s="326"/>
      <c r="M47" s="327"/>
    </row>
    <row r="48" spans="1:13" ht="15.75" thickBot="1">
      <c r="A48" s="328" t="s">
        <v>96</v>
      </c>
      <c r="B48" s="329"/>
      <c r="C48" s="329"/>
      <c r="D48" s="329"/>
      <c r="E48" s="141"/>
      <c r="F48" s="141"/>
      <c r="G48" s="141"/>
      <c r="H48" s="141"/>
      <c r="I48" s="141"/>
      <c r="J48" s="141"/>
      <c r="K48" s="141"/>
      <c r="L48" s="141"/>
      <c r="M48" s="142"/>
    </row>
    <row r="49" spans="1:13" ht="15.75" thickBo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1:13">
      <c r="A50" s="330" t="s">
        <v>4</v>
      </c>
      <c r="B50" s="332" t="s">
        <v>5</v>
      </c>
      <c r="C50" s="332" t="s">
        <v>6</v>
      </c>
      <c r="D50" s="332" t="s">
        <v>7</v>
      </c>
      <c r="E50" s="332" t="s">
        <v>8</v>
      </c>
      <c r="F50" s="332" t="s">
        <v>9</v>
      </c>
      <c r="G50" s="332" t="s">
        <v>10</v>
      </c>
      <c r="H50" s="332" t="s">
        <v>11</v>
      </c>
      <c r="I50" s="332" t="s">
        <v>12</v>
      </c>
      <c r="J50" s="332" t="s">
        <v>13</v>
      </c>
      <c r="K50" s="332" t="s">
        <v>14</v>
      </c>
      <c r="L50" s="332" t="s">
        <v>15</v>
      </c>
      <c r="M50" s="321" t="s">
        <v>16</v>
      </c>
    </row>
    <row r="51" spans="1:13" ht="15.75" thickBot="1">
      <c r="A51" s="331"/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22"/>
    </row>
    <row r="52" spans="1:13" ht="15.75" thickBot="1">
      <c r="A52" s="143"/>
      <c r="B52" s="143"/>
      <c r="C52" s="154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1:13" ht="15.75" thickBot="1">
      <c r="A53" s="271" t="s">
        <v>97</v>
      </c>
      <c r="B53" s="271" t="s">
        <v>98</v>
      </c>
      <c r="C53" s="272" t="s">
        <v>19</v>
      </c>
      <c r="D53" s="260">
        <v>44440</v>
      </c>
      <c r="E53" s="253">
        <f>5789.19*2</f>
        <v>11578.38</v>
      </c>
      <c r="F53" s="287"/>
      <c r="G53" s="158">
        <f>E53/30.4*40</f>
        <v>15234.71052631579</v>
      </c>
      <c r="H53" s="158">
        <v>1258.5</v>
      </c>
      <c r="I53" s="158">
        <f>E53/30.4*20*0.25</f>
        <v>1904.3388157894738</v>
      </c>
      <c r="J53" s="159"/>
      <c r="K53" s="158">
        <v>183.8</v>
      </c>
      <c r="L53" s="158">
        <v>539.19000000000005</v>
      </c>
      <c r="M53" s="128">
        <f>+(E53/2)-K53-L53</f>
        <v>5066.1999999999989</v>
      </c>
    </row>
    <row r="54" spans="1:13" ht="15.75" thickBot="1">
      <c r="A54" s="183"/>
      <c r="B54" s="288"/>
      <c r="C54" s="156"/>
      <c r="D54" s="160"/>
      <c r="E54" s="158"/>
      <c r="F54" s="170"/>
      <c r="G54" s="158">
        <f>E54/30.4*40</f>
        <v>0</v>
      </c>
      <c r="H54" s="158"/>
      <c r="I54" s="158">
        <f>E54/30.4*20*0.25</f>
        <v>0</v>
      </c>
      <c r="J54" s="158"/>
      <c r="K54" s="174"/>
      <c r="L54" s="158"/>
      <c r="M54" s="128">
        <f>+(E54-K54-L54)/2</f>
        <v>0</v>
      </c>
    </row>
    <row r="55" spans="1:13" ht="15.75" thickBot="1">
      <c r="A55" s="138"/>
      <c r="B55" s="138"/>
      <c r="C55" s="289"/>
      <c r="D55" s="290"/>
      <c r="E55" s="290"/>
      <c r="F55" s="290"/>
      <c r="G55" s="290"/>
      <c r="H55" s="290"/>
      <c r="I55" s="290"/>
      <c r="J55" s="290"/>
      <c r="K55" s="290"/>
      <c r="L55" s="290"/>
      <c r="M55" s="290"/>
    </row>
    <row r="56" spans="1:13" ht="26.25" thickBot="1">
      <c r="A56" s="143"/>
      <c r="B56" s="143"/>
      <c r="C56" s="163"/>
      <c r="D56" s="164" t="s">
        <v>28</v>
      </c>
      <c r="E56" s="233">
        <f>SUM(E53:E54)</f>
        <v>11578.38</v>
      </c>
      <c r="F56" s="233">
        <f>SUM(F53:F54)</f>
        <v>0</v>
      </c>
      <c r="G56" s="233">
        <f>+G57/12</f>
        <v>1269.5592105263158</v>
      </c>
      <c r="H56" s="233">
        <f>+H57/12</f>
        <v>104.875</v>
      </c>
      <c r="I56" s="233">
        <f>+I57/2</f>
        <v>952.16940789473688</v>
      </c>
      <c r="J56" s="233">
        <f>SUM(J53:J54)</f>
        <v>0</v>
      </c>
      <c r="K56" s="233">
        <f>SUM(K53:K54)*2</f>
        <v>367.6</v>
      </c>
      <c r="L56" s="233">
        <f>SUM(L53:L54)*2</f>
        <v>1078.3800000000001</v>
      </c>
      <c r="M56" s="128">
        <f>+M53*2</f>
        <v>10132.399999999998</v>
      </c>
    </row>
    <row r="57" spans="1:13" ht="26.25" thickBot="1">
      <c r="A57" s="143"/>
      <c r="B57" s="143"/>
      <c r="C57" s="143"/>
      <c r="D57" s="166" t="s">
        <v>29</v>
      </c>
      <c r="E57" s="182">
        <f>+E56*12</f>
        <v>138940.56</v>
      </c>
      <c r="F57" s="182">
        <f>+F56*12</f>
        <v>0</v>
      </c>
      <c r="G57" s="182">
        <f>SUM(G53:G54)</f>
        <v>15234.71052631579</v>
      </c>
      <c r="H57" s="182">
        <f>SUM(H53:H54)</f>
        <v>1258.5</v>
      </c>
      <c r="I57" s="182">
        <f>SUM(I53:I54)</f>
        <v>1904.3388157894738</v>
      </c>
      <c r="J57" s="182">
        <f>+J56*12</f>
        <v>0</v>
      </c>
      <c r="K57" s="182">
        <f>+K56*12</f>
        <v>4411.2000000000007</v>
      </c>
      <c r="L57" s="182">
        <f>+L56*12</f>
        <v>12940.560000000001</v>
      </c>
      <c r="M57" s="128">
        <f>+M56*12</f>
        <v>121588.79999999997</v>
      </c>
    </row>
    <row r="58" spans="1:13">
      <c r="A58" s="168" t="s">
        <v>30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</row>
    <row r="59" spans="1:13">
      <c r="A59" s="168" t="s">
        <v>31</v>
      </c>
      <c r="B59" s="143"/>
      <c r="C59" s="143"/>
      <c r="D59" s="143"/>
      <c r="E59" s="169"/>
      <c r="F59" s="143"/>
      <c r="G59" s="143"/>
      <c r="H59" s="143"/>
      <c r="I59" s="143"/>
      <c r="J59" s="143"/>
      <c r="K59" s="143"/>
      <c r="L59" s="143"/>
      <c r="M59" s="143"/>
    </row>
    <row r="60" spans="1:13">
      <c r="A60" s="168" t="s">
        <v>32</v>
      </c>
      <c r="B60" s="143"/>
      <c r="C60" s="143"/>
      <c r="D60" s="143"/>
      <c r="E60" s="169"/>
      <c r="F60" s="187"/>
      <c r="G60" s="143"/>
      <c r="H60" s="143"/>
      <c r="I60" s="143"/>
      <c r="J60" s="143"/>
      <c r="K60" s="143"/>
      <c r="L60" s="143"/>
      <c r="M60" s="143"/>
    </row>
    <row r="61" spans="1:13">
      <c r="A61" s="168" t="s">
        <v>33</v>
      </c>
      <c r="B61" s="143"/>
      <c r="C61" s="143"/>
      <c r="D61" s="143"/>
      <c r="E61" s="143"/>
      <c r="F61" s="143"/>
      <c r="G61" s="143"/>
      <c r="H61" s="291"/>
      <c r="I61" s="143"/>
      <c r="J61" s="143"/>
      <c r="K61" s="143"/>
      <c r="L61" s="143"/>
      <c r="M61" s="143"/>
    </row>
    <row r="62" spans="1:13">
      <c r="A62" s="168" t="s">
        <v>34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</row>
  </sheetData>
  <mergeCells count="47">
    <mergeCell ref="I47:M47"/>
    <mergeCell ref="A48:D48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A45:M45"/>
    <mergeCell ref="A25:M25"/>
    <mergeCell ref="I27:M27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M6:M7"/>
    <mergeCell ref="A1:M1"/>
    <mergeCell ref="I3:M3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3.937007874015748E-2" right="3.937007874015748E-2" top="0.55118110236220474" bottom="0.55118110236220474" header="0.31496062992125984" footer="0.31496062992125984"/>
  <pageSetup paperSize="30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60" zoomScaleNormal="60" workbookViewId="0">
      <selection activeCell="L14" sqref="L14"/>
    </sheetView>
  </sheetViews>
  <sheetFormatPr baseColWidth="10" defaultColWidth="11.42578125" defaultRowHeight="15"/>
  <cols>
    <col min="1" max="1" width="13.42578125" style="199" customWidth="1"/>
    <col min="2" max="2" width="23.7109375" style="199" customWidth="1"/>
    <col min="3" max="4" width="11.42578125" style="199"/>
    <col min="5" max="5" width="16.42578125" style="199" customWidth="1"/>
    <col min="6" max="6" width="14.85546875" style="199" customWidth="1"/>
    <col min="7" max="7" width="16.140625" style="199" customWidth="1"/>
    <col min="8" max="8" width="13.7109375" style="199" customWidth="1"/>
    <col min="9" max="9" width="14.140625" style="199" customWidth="1"/>
    <col min="10" max="10" width="11.42578125" style="199"/>
    <col min="11" max="11" width="15.85546875" style="199" customWidth="1"/>
    <col min="12" max="12" width="15.7109375" style="199" customWidth="1"/>
    <col min="13" max="13" width="17.42578125" style="199" customWidth="1"/>
    <col min="14" max="16384" width="11.42578125" style="199"/>
  </cols>
  <sheetData>
    <row r="1" spans="1:13" ht="15.75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5.75" thickBot="1"/>
    <row r="3" spans="1:13">
      <c r="A3" s="136" t="s">
        <v>79</v>
      </c>
      <c r="B3" s="200"/>
      <c r="C3" s="138"/>
      <c r="D3" s="200"/>
      <c r="E3" s="200"/>
      <c r="F3" s="200"/>
      <c r="G3" s="200"/>
      <c r="H3" s="350" t="s">
        <v>35</v>
      </c>
      <c r="I3" s="326"/>
      <c r="J3" s="326"/>
      <c r="K3" s="326"/>
      <c r="L3" s="326"/>
      <c r="M3" s="327"/>
    </row>
    <row r="4" spans="1:13" ht="15.75" thickBot="1">
      <c r="A4" s="139" t="s">
        <v>138</v>
      </c>
      <c r="B4" s="140"/>
      <c r="C4" s="140"/>
      <c r="D4" s="140"/>
      <c r="E4" s="141"/>
      <c r="F4" s="141"/>
      <c r="G4" s="141"/>
      <c r="H4" s="141"/>
      <c r="I4" s="141"/>
      <c r="J4" s="141"/>
      <c r="K4" s="141"/>
      <c r="L4" s="141"/>
      <c r="M4" s="142"/>
    </row>
    <row r="5" spans="1:13" ht="15.75" thickBo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>
      <c r="A6" s="330" t="s">
        <v>4</v>
      </c>
      <c r="B6" s="332" t="s">
        <v>5</v>
      </c>
      <c r="C6" s="332" t="s">
        <v>6</v>
      </c>
      <c r="D6" s="332" t="s">
        <v>7</v>
      </c>
      <c r="E6" s="332" t="s">
        <v>8</v>
      </c>
      <c r="F6" s="332" t="s">
        <v>9</v>
      </c>
      <c r="G6" s="332" t="s">
        <v>10</v>
      </c>
      <c r="H6" s="332" t="s">
        <v>11</v>
      </c>
      <c r="I6" s="332" t="s">
        <v>12</v>
      </c>
      <c r="J6" s="332" t="s">
        <v>13</v>
      </c>
      <c r="K6" s="332" t="s">
        <v>14</v>
      </c>
      <c r="L6" s="332" t="s">
        <v>15</v>
      </c>
      <c r="M6" s="321" t="s">
        <v>16</v>
      </c>
    </row>
    <row r="7" spans="1:13" ht="15.75" thickBot="1">
      <c r="A7" s="331"/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22"/>
    </row>
    <row r="8" spans="1:13" ht="15.75" thickBot="1">
      <c r="A8" s="153"/>
      <c r="B8" s="138"/>
      <c r="C8" s="154"/>
    </row>
    <row r="9" spans="1:13" ht="36.75" thickBot="1">
      <c r="A9" s="270" t="s">
        <v>139</v>
      </c>
      <c r="B9" s="271" t="s">
        <v>140</v>
      </c>
      <c r="C9" s="272" t="s">
        <v>19</v>
      </c>
      <c r="D9" s="260">
        <v>45536</v>
      </c>
      <c r="E9" s="253">
        <f>7504.08*2</f>
        <v>15008.16</v>
      </c>
      <c r="F9" s="241"/>
      <c r="G9" s="241">
        <f t="shared" ref="G9:G17" si="0">E9/30.4*40</f>
        <v>19747.578947368424</v>
      </c>
      <c r="H9" s="241">
        <v>2470.2600000000002</v>
      </c>
      <c r="I9" s="241">
        <f t="shared" ref="I9:I17" si="1">E9/30.4*20*0.25</f>
        <v>2468.4473684210529</v>
      </c>
      <c r="J9" s="241"/>
      <c r="K9" s="241"/>
      <c r="L9" s="253">
        <v>776.81</v>
      </c>
      <c r="M9" s="128">
        <f>+(E9/2)-L9</f>
        <v>6727.27</v>
      </c>
    </row>
    <row r="10" spans="1:13" ht="48.75" thickBot="1">
      <c r="A10" s="231" t="s">
        <v>141</v>
      </c>
      <c r="B10" s="201" t="s">
        <v>142</v>
      </c>
      <c r="C10" s="156" t="s">
        <v>23</v>
      </c>
      <c r="D10" s="160">
        <v>45536</v>
      </c>
      <c r="E10" s="158">
        <v>12000</v>
      </c>
      <c r="F10" s="170"/>
      <c r="G10" s="158">
        <f t="shared" si="0"/>
        <v>15789.473684210527</v>
      </c>
      <c r="H10" s="158">
        <v>583.58000000000004</v>
      </c>
      <c r="I10" s="158">
        <f t="shared" si="1"/>
        <v>1973.6842105263158</v>
      </c>
      <c r="J10" s="158"/>
      <c r="K10" s="159">
        <v>0</v>
      </c>
      <c r="L10" s="158">
        <v>516.84</v>
      </c>
      <c r="M10" s="128">
        <f t="shared" ref="M10:M17" si="2">+(E10/2)-L10</f>
        <v>5483.16</v>
      </c>
    </row>
    <row r="11" spans="1:13" ht="36.75" thickBot="1">
      <c r="A11" s="231" t="s">
        <v>143</v>
      </c>
      <c r="B11" s="201" t="s">
        <v>144</v>
      </c>
      <c r="C11" s="156" t="s">
        <v>23</v>
      </c>
      <c r="D11" s="160">
        <v>43328</v>
      </c>
      <c r="E11" s="158">
        <v>3893.14</v>
      </c>
      <c r="F11" s="170"/>
      <c r="G11" s="158">
        <f t="shared" si="0"/>
        <v>5122.5526315789475</v>
      </c>
      <c r="H11" s="158">
        <v>583.58000000000004</v>
      </c>
      <c r="I11" s="158">
        <f t="shared" si="1"/>
        <v>640.31907894736844</v>
      </c>
      <c r="J11" s="158"/>
      <c r="K11" s="159"/>
      <c r="L11" s="158">
        <f>+P11*2</f>
        <v>0</v>
      </c>
      <c r="M11" s="128">
        <f t="shared" si="2"/>
        <v>1946.57</v>
      </c>
    </row>
    <row r="12" spans="1:13" ht="24.75" thickBot="1">
      <c r="A12" s="231" t="s">
        <v>145</v>
      </c>
      <c r="B12" s="201" t="s">
        <v>146</v>
      </c>
      <c r="C12" s="156" t="s">
        <v>23</v>
      </c>
      <c r="D12" s="160">
        <v>45536</v>
      </c>
      <c r="E12" s="158">
        <v>10005.24</v>
      </c>
      <c r="F12" s="159">
        <v>2312.14</v>
      </c>
      <c r="G12" s="159">
        <f t="shared" si="0"/>
        <v>13164.789473684212</v>
      </c>
      <c r="H12" s="158">
        <v>378.2</v>
      </c>
      <c r="I12" s="159">
        <f t="shared" si="1"/>
        <v>1645.5986842105265</v>
      </c>
      <c r="J12" s="158">
        <f>+Q12*2</f>
        <v>0</v>
      </c>
      <c r="K12" s="159"/>
      <c r="L12" s="158">
        <v>541.72</v>
      </c>
      <c r="M12" s="128">
        <f>+((E12+F12)/2)-L12</f>
        <v>5616.9699999999993</v>
      </c>
    </row>
    <row r="13" spans="1:13" ht="15.75" thickBot="1">
      <c r="A13" s="273" t="s">
        <v>63</v>
      </c>
      <c r="B13" s="201" t="s">
        <v>147</v>
      </c>
      <c r="C13" s="156" t="s">
        <v>23</v>
      </c>
      <c r="D13" s="160">
        <v>45536</v>
      </c>
      <c r="E13" s="158">
        <v>7000</v>
      </c>
      <c r="F13" s="159"/>
      <c r="G13" s="158">
        <f t="shared" si="0"/>
        <v>9210.5263157894733</v>
      </c>
      <c r="H13" s="158">
        <v>541.12</v>
      </c>
      <c r="I13" s="158">
        <f t="shared" si="1"/>
        <v>1151.3157894736842</v>
      </c>
      <c r="J13" s="158"/>
      <c r="K13" s="159"/>
      <c r="L13" s="158">
        <v>0</v>
      </c>
      <c r="M13" s="128">
        <f t="shared" si="2"/>
        <v>3500</v>
      </c>
    </row>
    <row r="14" spans="1:13" ht="48.75" thickBot="1">
      <c r="A14" s="231" t="s">
        <v>166</v>
      </c>
      <c r="B14" s="201" t="s">
        <v>147</v>
      </c>
      <c r="C14" s="156" t="s">
        <v>23</v>
      </c>
      <c r="D14" s="160">
        <v>45536</v>
      </c>
      <c r="E14" s="158">
        <v>9074.32</v>
      </c>
      <c r="F14" s="159"/>
      <c r="G14" s="159">
        <f t="shared" si="0"/>
        <v>11939.894736842105</v>
      </c>
      <c r="H14" s="159">
        <v>861.96</v>
      </c>
      <c r="I14" s="159">
        <f t="shared" si="1"/>
        <v>1492.4868421052631</v>
      </c>
      <c r="J14" s="159"/>
      <c r="K14" s="159">
        <v>165.65</v>
      </c>
      <c r="L14" s="158">
        <v>336.64</v>
      </c>
      <c r="M14" s="128">
        <f>+(E14/2)-L14-K14</f>
        <v>4034.8699999999994</v>
      </c>
    </row>
    <row r="15" spans="1:13" ht="36.75" thickBot="1">
      <c r="A15" s="231" t="s">
        <v>148</v>
      </c>
      <c r="B15" s="201" t="s">
        <v>146</v>
      </c>
      <c r="C15" s="156" t="s">
        <v>23</v>
      </c>
      <c r="D15" s="160">
        <v>45536</v>
      </c>
      <c r="E15" s="158">
        <v>10005.24</v>
      </c>
      <c r="F15" s="159">
        <v>2312.14</v>
      </c>
      <c r="G15" s="158">
        <f t="shared" si="0"/>
        <v>13164.789473684212</v>
      </c>
      <c r="H15" s="158">
        <v>541.12</v>
      </c>
      <c r="I15" s="158">
        <f t="shared" si="1"/>
        <v>1645.5986842105265</v>
      </c>
      <c r="J15" s="158"/>
      <c r="K15" s="159">
        <v>249.73</v>
      </c>
      <c r="L15" s="158">
        <v>541.72</v>
      </c>
      <c r="M15" s="128">
        <f>+((E15+F15)/2)-K15-L15</f>
        <v>5367.24</v>
      </c>
    </row>
    <row r="16" spans="1:13" ht="15.75" thickBot="1">
      <c r="A16" s="265" t="s">
        <v>63</v>
      </c>
      <c r="B16" s="266" t="s">
        <v>149</v>
      </c>
      <c r="C16" s="254" t="s">
        <v>23</v>
      </c>
      <c r="D16" s="204">
        <v>45536</v>
      </c>
      <c r="E16" s="237">
        <v>6500</v>
      </c>
      <c r="F16" s="274"/>
      <c r="G16" s="159">
        <f t="shared" si="0"/>
        <v>8552.6315789473683</v>
      </c>
      <c r="H16" s="159">
        <v>746.31</v>
      </c>
      <c r="I16" s="159">
        <f t="shared" si="1"/>
        <v>1069.078947368421</v>
      </c>
      <c r="J16" s="237"/>
      <c r="K16" s="236"/>
      <c r="L16" s="237">
        <v>0</v>
      </c>
      <c r="M16" s="128">
        <f t="shared" si="2"/>
        <v>3250</v>
      </c>
    </row>
    <row r="17" spans="1:13" ht="24">
      <c r="A17" s="155" t="s">
        <v>150</v>
      </c>
      <c r="B17" s="201" t="s">
        <v>151</v>
      </c>
      <c r="C17" s="156" t="s">
        <v>23</v>
      </c>
      <c r="D17" s="160">
        <v>45627</v>
      </c>
      <c r="E17" s="158">
        <v>7501</v>
      </c>
      <c r="F17" s="170"/>
      <c r="G17" s="159">
        <f t="shared" si="0"/>
        <v>9869.7368421052633</v>
      </c>
      <c r="H17" s="158">
        <v>228.76</v>
      </c>
      <c r="I17" s="159">
        <f t="shared" si="1"/>
        <v>1233.7171052631579</v>
      </c>
      <c r="J17" s="158"/>
      <c r="K17" s="159"/>
      <c r="L17" s="158">
        <v>250.5</v>
      </c>
      <c r="M17" s="128">
        <f t="shared" si="2"/>
        <v>3500</v>
      </c>
    </row>
    <row r="18" spans="1:13" ht="15.75" thickBot="1">
      <c r="A18" s="143"/>
      <c r="B18" s="143"/>
      <c r="C18" s="154"/>
      <c r="D18" s="162"/>
      <c r="E18" s="162"/>
      <c r="F18" s="162"/>
      <c r="G18" s="162"/>
      <c r="H18" s="162"/>
      <c r="I18" s="162"/>
      <c r="J18" s="162"/>
      <c r="K18" s="162"/>
      <c r="L18" s="162"/>
      <c r="M18" s="162"/>
    </row>
    <row r="19" spans="1:13" ht="26.25" thickBot="1">
      <c r="A19" s="143"/>
      <c r="C19" s="163"/>
      <c r="D19" s="164" t="s">
        <v>28</v>
      </c>
      <c r="E19" s="275">
        <f>SUM(E9:E17)</f>
        <v>80987.100000000006</v>
      </c>
      <c r="F19" s="275">
        <f>SUM(F9:F17)</f>
        <v>4624.28</v>
      </c>
      <c r="G19" s="275">
        <f>+G20/12</f>
        <v>8880.1644736842118</v>
      </c>
      <c r="H19" s="275">
        <f>+H20/12</f>
        <v>577.90749999999991</v>
      </c>
      <c r="I19" s="275">
        <f>+I20/2</f>
        <v>6660.1233552631584</v>
      </c>
      <c r="J19" s="275">
        <f>SUM(J9:J17)</f>
        <v>0</v>
      </c>
      <c r="K19" s="275">
        <f t="shared" ref="K19:L19" si="3">SUM(K9:K17)*2</f>
        <v>830.76</v>
      </c>
      <c r="L19" s="275">
        <f t="shared" si="3"/>
        <v>5928.4600000000009</v>
      </c>
      <c r="M19" s="275">
        <f>SUM(M9:M17)*2</f>
        <v>78852.160000000003</v>
      </c>
    </row>
    <row r="20" spans="1:13" ht="26.25" thickBot="1">
      <c r="D20" s="166" t="s">
        <v>29</v>
      </c>
      <c r="E20" s="276">
        <f>+E19*12</f>
        <v>971845.20000000007</v>
      </c>
      <c r="F20" s="276">
        <f>+F19*12</f>
        <v>55491.360000000001</v>
      </c>
      <c r="G20" s="276">
        <f>SUM(G9:G17)</f>
        <v>106561.97368421053</v>
      </c>
      <c r="H20" s="276">
        <f>SUM(H9:H17)</f>
        <v>6934.8899999999994</v>
      </c>
      <c r="I20" s="276">
        <f>SUM(I9:I17)</f>
        <v>13320.246710526317</v>
      </c>
      <c r="J20" s="276">
        <f>+J19*12</f>
        <v>0</v>
      </c>
      <c r="K20" s="276">
        <f>+K19*12</f>
        <v>9969.119999999999</v>
      </c>
      <c r="L20" s="276">
        <f>+L19*12</f>
        <v>71141.520000000019</v>
      </c>
      <c r="M20" s="276">
        <f>+M19*12</f>
        <v>946225.92</v>
      </c>
    </row>
    <row r="21" spans="1:13">
      <c r="A21" s="168" t="s">
        <v>30</v>
      </c>
    </row>
    <row r="22" spans="1:13">
      <c r="A22" s="168" t="s">
        <v>31</v>
      </c>
      <c r="E22" s="169"/>
      <c r="F22" s="169"/>
      <c r="G22" s="169"/>
      <c r="I22" s="169"/>
      <c r="J22" s="169"/>
      <c r="L22" s="169"/>
    </row>
    <row r="23" spans="1:13">
      <c r="A23" s="168" t="s">
        <v>32</v>
      </c>
    </row>
    <row r="24" spans="1:13">
      <c r="A24" s="168" t="s">
        <v>33</v>
      </c>
      <c r="E24" s="169"/>
    </row>
    <row r="25" spans="1:13">
      <c r="A25" s="168" t="s">
        <v>34</v>
      </c>
    </row>
    <row r="29" spans="1:13" ht="15.75">
      <c r="A29" s="323" t="s">
        <v>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</row>
    <row r="30" spans="1:13" ht="15.75" thickBot="1"/>
    <row r="31" spans="1:13">
      <c r="A31" s="136" t="s">
        <v>79</v>
      </c>
      <c r="B31" s="200"/>
      <c r="C31" s="138"/>
      <c r="D31" s="200"/>
      <c r="E31" s="200"/>
      <c r="F31" s="200"/>
      <c r="G31" s="200"/>
      <c r="H31" s="350" t="s">
        <v>35</v>
      </c>
      <c r="I31" s="326"/>
      <c r="J31" s="326"/>
      <c r="K31" s="326"/>
      <c r="L31" s="326"/>
      <c r="M31" s="327"/>
    </row>
    <row r="32" spans="1:13" ht="15.75" thickBot="1">
      <c r="A32" s="139" t="s">
        <v>152</v>
      </c>
      <c r="B32" s="140"/>
      <c r="C32" s="140"/>
      <c r="D32" s="140"/>
      <c r="E32" s="141"/>
      <c r="F32" s="141"/>
      <c r="G32" s="141"/>
      <c r="H32" s="141"/>
      <c r="I32" s="141"/>
      <c r="J32" s="141"/>
      <c r="K32" s="141"/>
      <c r="L32" s="141"/>
      <c r="M32" s="142"/>
    </row>
    <row r="33" spans="1:14" ht="15.75" thickBot="1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4">
      <c r="A34" s="330" t="s">
        <v>4</v>
      </c>
      <c r="B34" s="332" t="s">
        <v>5</v>
      </c>
      <c r="C34" s="332" t="s">
        <v>6</v>
      </c>
      <c r="D34" s="332" t="s">
        <v>7</v>
      </c>
      <c r="E34" s="332" t="s">
        <v>8</v>
      </c>
      <c r="F34" s="332" t="s">
        <v>9</v>
      </c>
      <c r="G34" s="332" t="s">
        <v>10</v>
      </c>
      <c r="H34" s="332" t="s">
        <v>11</v>
      </c>
      <c r="I34" s="332" t="s">
        <v>12</v>
      </c>
      <c r="J34" s="332" t="s">
        <v>13</v>
      </c>
      <c r="K34" s="332" t="s">
        <v>14</v>
      </c>
      <c r="L34" s="332" t="s">
        <v>15</v>
      </c>
      <c r="M34" s="321" t="s">
        <v>16</v>
      </c>
    </row>
    <row r="35" spans="1:14" ht="15.75" thickBot="1">
      <c r="A35" s="331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22"/>
    </row>
    <row r="36" spans="1:14" ht="15.75" thickBot="1">
      <c r="A36" s="153"/>
      <c r="B36" s="138"/>
      <c r="C36" s="154"/>
    </row>
    <row r="37" spans="1:14" ht="30.75" customHeight="1" thickBot="1">
      <c r="A37" s="231" t="s">
        <v>63</v>
      </c>
      <c r="B37" s="230" t="s">
        <v>153</v>
      </c>
      <c r="C37" s="156" t="s">
        <v>23</v>
      </c>
      <c r="D37" s="160">
        <v>46023</v>
      </c>
      <c r="E37" s="159">
        <v>11000</v>
      </c>
      <c r="F37" s="159"/>
      <c r="G37" s="159">
        <f t="shared" ref="G37:G42" si="4">E37/30.4*40</f>
        <v>14473.684210526317</v>
      </c>
      <c r="H37" s="159">
        <v>1458.46</v>
      </c>
      <c r="I37" s="159">
        <f t="shared" ref="I37:I42" si="5">E37/30.4*20*0.25</f>
        <v>1809.2105263157896</v>
      </c>
      <c r="J37" s="159"/>
      <c r="K37" s="159"/>
      <c r="L37" s="158">
        <v>500</v>
      </c>
      <c r="M37" s="128">
        <f>+((E37/2)-K37-L37)</f>
        <v>5000</v>
      </c>
    </row>
    <row r="38" spans="1:14" ht="30.75" customHeight="1" thickBot="1">
      <c r="A38" s="231" t="s">
        <v>154</v>
      </c>
      <c r="B38" s="201" t="s">
        <v>155</v>
      </c>
      <c r="C38" s="156" t="s">
        <v>23</v>
      </c>
      <c r="D38" s="160">
        <v>43846</v>
      </c>
      <c r="E38" s="158">
        <v>9263.7900000000009</v>
      </c>
      <c r="F38" s="158"/>
      <c r="G38" s="158">
        <f t="shared" si="4"/>
        <v>12189.197368421055</v>
      </c>
      <c r="H38" s="158">
        <v>409.39</v>
      </c>
      <c r="I38" s="158">
        <f t="shared" si="5"/>
        <v>1523.6496710526319</v>
      </c>
      <c r="J38" s="158"/>
      <c r="K38" s="158">
        <v>283.54000000000002</v>
      </c>
      <c r="L38" s="158">
        <v>348.36</v>
      </c>
      <c r="M38" s="128">
        <f>+((E38/2)-K38-L38)</f>
        <v>3999.9950000000003</v>
      </c>
      <c r="N38" s="229"/>
    </row>
    <row r="39" spans="1:14" ht="30.75" customHeight="1" thickBot="1">
      <c r="A39" s="231" t="s">
        <v>63</v>
      </c>
      <c r="B39" s="201" t="s">
        <v>156</v>
      </c>
      <c r="C39" s="156" t="s">
        <v>23</v>
      </c>
      <c r="D39" s="160">
        <v>46023</v>
      </c>
      <c r="E39" s="158">
        <v>8212.48</v>
      </c>
      <c r="F39" s="159"/>
      <c r="G39" s="159">
        <f t="shared" si="4"/>
        <v>10805.894736842107</v>
      </c>
      <c r="H39" s="158">
        <v>773.73</v>
      </c>
      <c r="I39" s="159">
        <f t="shared" si="5"/>
        <v>1350.7368421052633</v>
      </c>
      <c r="J39" s="159"/>
      <c r="K39" s="159"/>
      <c r="L39" s="158">
        <v>92.96</v>
      </c>
      <c r="M39" s="128">
        <f t="shared" ref="M39:M42" si="6">+((E39/2)-K39-L39)</f>
        <v>4013.2799999999997</v>
      </c>
    </row>
    <row r="40" spans="1:14" ht="30.75" customHeight="1" thickBot="1">
      <c r="A40" s="231" t="s">
        <v>259</v>
      </c>
      <c r="B40" s="201" t="s">
        <v>157</v>
      </c>
      <c r="C40" s="156" t="s">
        <v>23</v>
      </c>
      <c r="D40" s="160">
        <v>43846</v>
      </c>
      <c r="E40" s="158">
        <v>8991.84</v>
      </c>
      <c r="F40" s="159"/>
      <c r="G40" s="159">
        <f t="shared" si="4"/>
        <v>11831.368421052632</v>
      </c>
      <c r="H40" s="158">
        <v>720.05</v>
      </c>
      <c r="I40" s="159">
        <f t="shared" si="5"/>
        <v>1478.921052631579</v>
      </c>
      <c r="J40" s="159"/>
      <c r="K40" s="159"/>
      <c r="L40" s="158">
        <v>221.66</v>
      </c>
      <c r="M40" s="128">
        <f t="shared" si="6"/>
        <v>4274.26</v>
      </c>
    </row>
    <row r="41" spans="1:14" ht="30.75" customHeight="1" thickBot="1">
      <c r="A41" s="231" t="s">
        <v>63</v>
      </c>
      <c r="B41" s="201" t="s">
        <v>265</v>
      </c>
      <c r="C41" s="156" t="s">
        <v>23</v>
      </c>
      <c r="D41" s="160">
        <v>46023</v>
      </c>
      <c r="E41" s="158">
        <v>7000</v>
      </c>
      <c r="F41" s="159"/>
      <c r="G41" s="159">
        <f t="shared" si="4"/>
        <v>9210.5263157894733</v>
      </c>
      <c r="H41" s="158">
        <v>458</v>
      </c>
      <c r="I41" s="159">
        <f t="shared" si="5"/>
        <v>1151.3157894736842</v>
      </c>
      <c r="J41" s="159"/>
      <c r="K41" s="159"/>
      <c r="L41" s="158">
        <v>98.56</v>
      </c>
      <c r="M41" s="128">
        <f t="shared" si="6"/>
        <v>3401.44</v>
      </c>
    </row>
    <row r="42" spans="1:14" ht="30.75" customHeight="1" thickBot="1">
      <c r="A42" s="231" t="s">
        <v>158</v>
      </c>
      <c r="B42" s="230" t="s">
        <v>159</v>
      </c>
      <c r="C42" s="156" t="s">
        <v>23</v>
      </c>
      <c r="D42" s="160">
        <v>43328</v>
      </c>
      <c r="E42" s="158">
        <v>8992.32</v>
      </c>
      <c r="F42" s="159"/>
      <c r="G42" s="159">
        <f t="shared" si="4"/>
        <v>11832</v>
      </c>
      <c r="H42" s="158">
        <v>698</v>
      </c>
      <c r="I42" s="159">
        <f t="shared" si="5"/>
        <v>1479</v>
      </c>
      <c r="J42" s="158">
        <f>+Q42*2</f>
        <v>0</v>
      </c>
      <c r="K42" s="159"/>
      <c r="L42" s="158">
        <v>221.66</v>
      </c>
      <c r="M42" s="128">
        <f t="shared" si="6"/>
        <v>4274.5</v>
      </c>
    </row>
    <row r="43" spans="1:14" ht="30.75" customHeight="1" thickBot="1">
      <c r="A43" s="231" t="s">
        <v>160</v>
      </c>
      <c r="B43" s="201" t="s">
        <v>257</v>
      </c>
      <c r="C43" s="156" t="s">
        <v>23</v>
      </c>
      <c r="D43" s="160">
        <v>46023</v>
      </c>
      <c r="E43" s="159">
        <v>11000</v>
      </c>
      <c r="F43" s="159"/>
      <c r="G43" s="159">
        <f t="shared" ref="G43:G46" si="7">E43/30.4*40</f>
        <v>14473.684210526317</v>
      </c>
      <c r="H43" s="159">
        <v>1458.46</v>
      </c>
      <c r="I43" s="159">
        <f t="shared" ref="I43:I46" si="8">E43/30.4*20*0.25</f>
        <v>1809.2105263157896</v>
      </c>
      <c r="J43" s="159"/>
      <c r="K43" s="159"/>
      <c r="L43" s="158">
        <v>500</v>
      </c>
      <c r="M43" s="128">
        <f>+((E43/2)-K43-L43)</f>
        <v>5000</v>
      </c>
    </row>
    <row r="44" spans="1:14" ht="30.75" customHeight="1" thickBot="1">
      <c r="A44" s="273" t="s">
        <v>162</v>
      </c>
      <c r="B44" s="230" t="s">
        <v>161</v>
      </c>
      <c r="C44" s="156" t="s">
        <v>23</v>
      </c>
      <c r="D44" s="160">
        <v>44927</v>
      </c>
      <c r="E44" s="158">
        <v>9263.7900000000009</v>
      </c>
      <c r="F44" s="158"/>
      <c r="G44" s="158">
        <f t="shared" si="7"/>
        <v>12189.197368421055</v>
      </c>
      <c r="H44" s="158">
        <v>409.39</v>
      </c>
      <c r="I44" s="158">
        <f t="shared" si="8"/>
        <v>1523.6496710526319</v>
      </c>
      <c r="J44" s="158"/>
      <c r="K44" s="158">
        <v>283.54000000000002</v>
      </c>
      <c r="L44" s="158">
        <v>348.36</v>
      </c>
      <c r="M44" s="128">
        <f>+((E44/2)-K44-L44)</f>
        <v>3999.9950000000003</v>
      </c>
    </row>
    <row r="45" spans="1:14" ht="30.75" customHeight="1" thickBot="1">
      <c r="A45" s="231" t="s">
        <v>163</v>
      </c>
      <c r="B45" s="230" t="s">
        <v>164</v>
      </c>
      <c r="C45" s="156" t="s">
        <v>23</v>
      </c>
      <c r="D45" s="204">
        <v>43481</v>
      </c>
      <c r="E45" s="158">
        <v>9263.7900000000009</v>
      </c>
      <c r="F45" s="158"/>
      <c r="G45" s="158">
        <f t="shared" si="7"/>
        <v>12189.197368421055</v>
      </c>
      <c r="H45" s="158">
        <v>409.39</v>
      </c>
      <c r="I45" s="158">
        <f t="shared" si="8"/>
        <v>1523.6496710526319</v>
      </c>
      <c r="J45" s="158"/>
      <c r="K45" s="158"/>
      <c r="L45" s="158">
        <v>348.36</v>
      </c>
      <c r="M45" s="128">
        <f>+((E45/2)-K45-L45)</f>
        <v>4283.5350000000008</v>
      </c>
    </row>
    <row r="46" spans="1:14" ht="30.75" customHeight="1" thickBot="1">
      <c r="A46" s="155" t="s">
        <v>165</v>
      </c>
      <c r="B46" s="201" t="s">
        <v>156</v>
      </c>
      <c r="C46" s="156" t="s">
        <v>23</v>
      </c>
      <c r="D46" s="160">
        <v>45659</v>
      </c>
      <c r="E46" s="158">
        <v>9263.7900000000009</v>
      </c>
      <c r="F46" s="158"/>
      <c r="G46" s="158">
        <f t="shared" si="7"/>
        <v>12189.197368421055</v>
      </c>
      <c r="H46" s="158">
        <v>409.39</v>
      </c>
      <c r="I46" s="158">
        <f t="shared" si="8"/>
        <v>1523.6496710526319</v>
      </c>
      <c r="J46" s="158"/>
      <c r="K46" s="158"/>
      <c r="L46" s="158">
        <v>348.36</v>
      </c>
      <c r="M46" s="128">
        <f>+((E46/2)-K46-L46)</f>
        <v>4283.5350000000008</v>
      </c>
    </row>
    <row r="47" spans="1:14" ht="15.75" thickBot="1">
      <c r="A47" s="116"/>
      <c r="B47" s="117"/>
      <c r="C47" s="118"/>
      <c r="D47" s="134"/>
      <c r="E47" s="120"/>
      <c r="F47" s="135"/>
      <c r="G47" s="122"/>
      <c r="H47" s="120"/>
      <c r="I47" s="122"/>
      <c r="J47" s="120"/>
      <c r="K47" s="122"/>
      <c r="L47" s="120"/>
      <c r="M47" s="123"/>
    </row>
    <row r="48" spans="1:14" ht="26.25" thickBot="1">
      <c r="A48" s="143"/>
      <c r="C48" s="163"/>
      <c r="D48" s="164" t="s">
        <v>28</v>
      </c>
      <c r="E48" s="275">
        <f>SUM(E37:E46)</f>
        <v>92251.800000000017</v>
      </c>
      <c r="F48" s="275">
        <f>SUM(F37:F45)*2</f>
        <v>0</v>
      </c>
      <c r="G48" s="275">
        <f>+G49/12</f>
        <v>9099.5625000000018</v>
      </c>
      <c r="H48" s="275">
        <f>+H49/12</f>
        <v>566.23916666666673</v>
      </c>
      <c r="I48" s="275">
        <f>+I49/2</f>
        <v>6824.6718750000009</v>
      </c>
      <c r="J48" s="275">
        <f>SUM(J37:J45)</f>
        <v>0</v>
      </c>
      <c r="K48" s="275">
        <f>SUM(K37:K46)*2</f>
        <v>1134.1600000000001</v>
      </c>
      <c r="L48" s="275">
        <f>SUM(L37:L46)*2</f>
        <v>6056.56</v>
      </c>
      <c r="M48" s="275">
        <f>SUM(M37:M46)*2</f>
        <v>85061.080000000016</v>
      </c>
    </row>
    <row r="49" spans="1:13" ht="26.25" thickBot="1">
      <c r="D49" s="166" t="s">
        <v>29</v>
      </c>
      <c r="E49" s="276">
        <f>+E48*12</f>
        <v>1107021.6000000001</v>
      </c>
      <c r="F49" s="276">
        <f>+F48*12</f>
        <v>0</v>
      </c>
      <c r="G49" s="276">
        <f>SUM(G37:G45)</f>
        <v>109194.75000000001</v>
      </c>
      <c r="H49" s="276">
        <f>SUM(H37:H45)</f>
        <v>6794.8700000000008</v>
      </c>
      <c r="I49" s="276">
        <f>SUM(I37:I45)</f>
        <v>13649.343750000002</v>
      </c>
      <c r="J49" s="276">
        <f>+J48*12</f>
        <v>0</v>
      </c>
      <c r="K49" s="276">
        <f>+K48*12</f>
        <v>13609.920000000002</v>
      </c>
      <c r="L49" s="276">
        <f>+L48*12</f>
        <v>72678.720000000001</v>
      </c>
      <c r="M49" s="276">
        <f>+M48*12</f>
        <v>1020732.9600000002</v>
      </c>
    </row>
    <row r="50" spans="1:13">
      <c r="A50" s="168" t="s">
        <v>30</v>
      </c>
    </row>
    <row r="51" spans="1:13">
      <c r="A51" s="168" t="s">
        <v>31</v>
      </c>
      <c r="E51" s="169"/>
    </row>
    <row r="52" spans="1:13">
      <c r="A52" s="168" t="s">
        <v>32</v>
      </c>
    </row>
    <row r="53" spans="1:13">
      <c r="A53" s="168" t="s">
        <v>33</v>
      </c>
    </row>
    <row r="54" spans="1:13">
      <c r="A54" s="168" t="s">
        <v>34</v>
      </c>
    </row>
  </sheetData>
  <mergeCells count="30">
    <mergeCell ref="A1:M1"/>
    <mergeCell ref="H3:M3"/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I6:I7"/>
    <mergeCell ref="A29:M29"/>
    <mergeCell ref="F34:F35"/>
    <mergeCell ref="G34:G35"/>
    <mergeCell ref="H34:H35"/>
    <mergeCell ref="I34:I35"/>
    <mergeCell ref="A34:A35"/>
    <mergeCell ref="B34:B35"/>
    <mergeCell ref="C34:C35"/>
    <mergeCell ref="D34:D35"/>
    <mergeCell ref="E34:E35"/>
    <mergeCell ref="J34:J35"/>
    <mergeCell ref="K34:K35"/>
    <mergeCell ref="L34:L35"/>
    <mergeCell ref="M34:M35"/>
    <mergeCell ref="H31:M31"/>
  </mergeCells>
  <pageMargins left="0.25" right="0.25" top="0.75" bottom="0.75" header="0.3" footer="0.3"/>
  <pageSetup paperSize="305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="60" zoomScaleNormal="60" zoomScaleSheetLayoutView="50" workbookViewId="0">
      <selection activeCell="D9" sqref="D9"/>
    </sheetView>
  </sheetViews>
  <sheetFormatPr baseColWidth="10" defaultColWidth="11.42578125" defaultRowHeight="15"/>
  <cols>
    <col min="1" max="1" width="25.42578125" style="199" customWidth="1"/>
    <col min="2" max="2" width="16.85546875" style="199" customWidth="1"/>
    <col min="3" max="4" width="11.42578125" style="199"/>
    <col min="5" max="5" width="17.5703125" style="199" customWidth="1"/>
    <col min="6" max="6" width="14" style="199" customWidth="1"/>
    <col min="7" max="7" width="15.5703125" style="199" customWidth="1"/>
    <col min="8" max="8" width="15.140625" style="199" customWidth="1"/>
    <col min="9" max="9" width="16.28515625" style="199" customWidth="1"/>
    <col min="10" max="10" width="10" style="199" customWidth="1"/>
    <col min="11" max="11" width="15.85546875" style="199" bestFit="1" customWidth="1"/>
    <col min="12" max="12" width="15.85546875" style="199" customWidth="1"/>
    <col min="13" max="13" width="16.5703125" style="199" customWidth="1"/>
    <col min="14" max="14" width="11.42578125" style="199"/>
    <col min="15" max="15" width="13.140625" style="199" bestFit="1" customWidth="1"/>
    <col min="16" max="16384" width="11.42578125" style="199"/>
  </cols>
  <sheetData>
    <row r="1" spans="1:16" ht="15.75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6" ht="15.75" thickBo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6">
      <c r="A3" s="136" t="s">
        <v>1</v>
      </c>
      <c r="B3" s="200"/>
      <c r="C3" s="138"/>
      <c r="D3" s="200"/>
      <c r="E3" s="200"/>
      <c r="F3" s="200"/>
      <c r="G3" s="200"/>
      <c r="H3" s="200"/>
      <c r="I3" s="325" t="s">
        <v>35</v>
      </c>
      <c r="J3" s="326"/>
      <c r="K3" s="326"/>
      <c r="L3" s="326"/>
      <c r="M3" s="327"/>
    </row>
    <row r="4" spans="1:16" ht="15.75" thickBot="1">
      <c r="A4" s="328" t="s">
        <v>167</v>
      </c>
      <c r="B4" s="329"/>
      <c r="C4" s="329"/>
      <c r="D4" s="329"/>
      <c r="E4" s="141"/>
      <c r="F4" s="141"/>
      <c r="G4" s="141"/>
      <c r="H4" s="141"/>
      <c r="I4" s="141"/>
      <c r="J4" s="141"/>
      <c r="K4" s="141"/>
      <c r="L4" s="141"/>
      <c r="M4" s="142"/>
    </row>
    <row r="5" spans="1:16" ht="15.75" thickBo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6">
      <c r="A6" s="330" t="s">
        <v>4</v>
      </c>
      <c r="B6" s="332" t="s">
        <v>5</v>
      </c>
      <c r="C6" s="332" t="s">
        <v>6</v>
      </c>
      <c r="D6" s="332" t="s">
        <v>7</v>
      </c>
      <c r="E6" s="332" t="s">
        <v>8</v>
      </c>
      <c r="F6" s="332" t="s">
        <v>65</v>
      </c>
      <c r="G6" s="332" t="s">
        <v>10</v>
      </c>
      <c r="H6" s="332" t="s">
        <v>11</v>
      </c>
      <c r="I6" s="332" t="s">
        <v>12</v>
      </c>
      <c r="J6" s="332" t="s">
        <v>13</v>
      </c>
      <c r="K6" s="332" t="s">
        <v>14</v>
      </c>
      <c r="L6" s="332" t="s">
        <v>15</v>
      </c>
      <c r="M6" s="321" t="s">
        <v>16</v>
      </c>
    </row>
    <row r="7" spans="1:16" ht="15.75" thickBot="1">
      <c r="A7" s="331"/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22"/>
    </row>
    <row r="8" spans="1:16" ht="15.75" thickBot="1">
      <c r="A8" s="143"/>
      <c r="B8" s="143"/>
      <c r="C8" s="154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9" spans="1:16" ht="15.75" thickBot="1">
      <c r="A9" s="201" t="s">
        <v>168</v>
      </c>
      <c r="B9" s="230" t="s">
        <v>169</v>
      </c>
      <c r="C9" s="156" t="s">
        <v>19</v>
      </c>
      <c r="D9" s="160">
        <v>45536</v>
      </c>
      <c r="E9" s="159">
        <v>25013.4</v>
      </c>
      <c r="F9" s="159"/>
      <c r="G9" s="159">
        <f t="shared" ref="G9:G15" si="0">E9/30.4*40</f>
        <v>32912.368421052633</v>
      </c>
      <c r="H9" s="159">
        <v>4256.1899999999996</v>
      </c>
      <c r="I9" s="159">
        <f>E9/30.4*20*0.25</f>
        <v>4114.0460526315792</v>
      </c>
      <c r="J9" s="159"/>
      <c r="K9" s="232">
        <v>456.66</v>
      </c>
      <c r="L9" s="159">
        <v>1836.98</v>
      </c>
      <c r="M9" s="128">
        <f>+((E9/2)-K9-L9)</f>
        <v>10213.060000000001</v>
      </c>
    </row>
    <row r="10" spans="1:16" ht="15.75" thickBot="1">
      <c r="A10" s="201" t="s">
        <v>170</v>
      </c>
      <c r="B10" s="230" t="s">
        <v>171</v>
      </c>
      <c r="C10" s="156" t="s">
        <v>23</v>
      </c>
      <c r="D10" s="160">
        <v>42248</v>
      </c>
      <c r="E10" s="158">
        <v>13757.74</v>
      </c>
      <c r="F10" s="159">
        <v>709.85</v>
      </c>
      <c r="G10" s="159">
        <f t="shared" si="0"/>
        <v>18102.28947368421</v>
      </c>
      <c r="H10" s="158">
        <v>1275.96</v>
      </c>
      <c r="I10" s="159">
        <f t="shared" ref="I10:I15" si="1">E10/30.4*20*0.25</f>
        <v>2262.7861842105262</v>
      </c>
      <c r="J10" s="159"/>
      <c r="K10" s="159">
        <v>156.71</v>
      </c>
      <c r="L10" s="158">
        <v>775.09</v>
      </c>
      <c r="M10" s="128">
        <f>+((E10+F10)/2-K10-L10)</f>
        <v>6301.9949999999999</v>
      </c>
      <c r="O10" s="300"/>
    </row>
    <row r="11" spans="1:16" ht="15.75" thickBot="1">
      <c r="A11" s="201" t="s">
        <v>172</v>
      </c>
      <c r="B11" s="201" t="s">
        <v>173</v>
      </c>
      <c r="C11" s="156" t="s">
        <v>23</v>
      </c>
      <c r="D11" s="160">
        <v>43344</v>
      </c>
      <c r="E11" s="158">
        <v>13757.74</v>
      </c>
      <c r="F11" s="159">
        <v>706.85</v>
      </c>
      <c r="G11" s="159">
        <f t="shared" si="0"/>
        <v>18102.28947368421</v>
      </c>
      <c r="H11" s="159">
        <v>1275.96</v>
      </c>
      <c r="I11" s="159">
        <f t="shared" si="1"/>
        <v>2262.7861842105262</v>
      </c>
      <c r="J11" s="159"/>
      <c r="K11" s="232">
        <v>251.17</v>
      </c>
      <c r="L11" s="158">
        <v>775.09</v>
      </c>
      <c r="M11" s="128">
        <f>+((E11+F11)/2-K11-L11)</f>
        <v>6206.0349999999999</v>
      </c>
      <c r="N11" s="298"/>
      <c r="P11" s="294"/>
    </row>
    <row r="12" spans="1:16" ht="15.75" thickBot="1">
      <c r="A12" s="117" t="s">
        <v>174</v>
      </c>
      <c r="B12" s="230" t="s">
        <v>175</v>
      </c>
      <c r="C12" s="156" t="s">
        <v>23</v>
      </c>
      <c r="D12" s="160">
        <v>43389</v>
      </c>
      <c r="E12" s="158">
        <v>10763.82</v>
      </c>
      <c r="F12" s="159"/>
      <c r="G12" s="159">
        <f t="shared" si="0"/>
        <v>14162.92105263158</v>
      </c>
      <c r="H12" s="159">
        <v>408.39</v>
      </c>
      <c r="I12" s="159">
        <f t="shared" si="1"/>
        <v>1770.3651315789475</v>
      </c>
      <c r="J12" s="159"/>
      <c r="K12" s="159"/>
      <c r="L12" s="159">
        <v>426.92</v>
      </c>
      <c r="M12" s="128">
        <f t="shared" ref="M12:M14" si="2">+((E12/2)-K12-L12)</f>
        <v>4954.99</v>
      </c>
    </row>
    <row r="13" spans="1:16" ht="15.75" thickBot="1">
      <c r="A13" s="201" t="s">
        <v>176</v>
      </c>
      <c r="B13" s="201" t="s">
        <v>177</v>
      </c>
      <c r="C13" s="156" t="s">
        <v>23</v>
      </c>
      <c r="D13" s="160">
        <v>43405</v>
      </c>
      <c r="E13" s="158">
        <v>10005.24</v>
      </c>
      <c r="F13" s="159"/>
      <c r="G13" s="159">
        <f t="shared" si="0"/>
        <v>13164.789473684212</v>
      </c>
      <c r="H13" s="159">
        <v>1016.25</v>
      </c>
      <c r="I13" s="159">
        <f t="shared" si="1"/>
        <v>1645.5986842105265</v>
      </c>
      <c r="J13" s="159"/>
      <c r="K13" s="232">
        <v>182.66</v>
      </c>
      <c r="L13" s="158">
        <v>385.65</v>
      </c>
      <c r="M13" s="128">
        <f t="shared" si="2"/>
        <v>4434.3100000000004</v>
      </c>
    </row>
    <row r="14" spans="1:16" ht="15.75" thickBot="1">
      <c r="A14" s="201" t="s">
        <v>178</v>
      </c>
      <c r="B14" s="201" t="s">
        <v>179</v>
      </c>
      <c r="C14" s="156" t="s">
        <v>23</v>
      </c>
      <c r="D14" s="160">
        <v>45139</v>
      </c>
      <c r="E14" s="158">
        <v>10760.2</v>
      </c>
      <c r="F14" s="158"/>
      <c r="G14" s="158">
        <f t="shared" si="0"/>
        <v>14158.157894736843</v>
      </c>
      <c r="H14" s="158">
        <v>408.39</v>
      </c>
      <c r="I14" s="158">
        <f t="shared" si="1"/>
        <v>1769.7697368421054</v>
      </c>
      <c r="J14" s="158"/>
      <c r="K14" s="232"/>
      <c r="L14" s="158">
        <v>426.72</v>
      </c>
      <c r="M14" s="128">
        <f t="shared" si="2"/>
        <v>4953.38</v>
      </c>
    </row>
    <row r="15" spans="1:16" ht="15.75" thickBot="1">
      <c r="A15" s="201" t="s">
        <v>63</v>
      </c>
      <c r="B15" s="201" t="s">
        <v>258</v>
      </c>
      <c r="C15" s="156" t="s">
        <v>23</v>
      </c>
      <c r="D15" s="119">
        <v>46023</v>
      </c>
      <c r="E15" s="158">
        <v>8625.5</v>
      </c>
      <c r="F15" s="158"/>
      <c r="G15" s="158">
        <f t="shared" si="0"/>
        <v>11349.342105263158</v>
      </c>
      <c r="H15" s="158">
        <v>409.39</v>
      </c>
      <c r="I15" s="158">
        <f t="shared" si="1"/>
        <v>1418.6677631578948</v>
      </c>
      <c r="J15" s="158"/>
      <c r="K15" s="158"/>
      <c r="L15" s="158">
        <v>312.75</v>
      </c>
      <c r="M15" s="128">
        <f>+((E15/2)-K15-L15)</f>
        <v>4000</v>
      </c>
    </row>
    <row r="16" spans="1:16" ht="24.75" customHeight="1" thickBot="1">
      <c r="A16" s="161" t="s">
        <v>181</v>
      </c>
      <c r="B16" s="230" t="s">
        <v>275</v>
      </c>
      <c r="C16" s="156" t="s">
        <v>19</v>
      </c>
      <c r="D16" s="160">
        <v>44711</v>
      </c>
      <c r="E16" s="159">
        <v>11892.9</v>
      </c>
      <c r="F16" s="159"/>
      <c r="G16" s="159">
        <f>E16/30.4*40</f>
        <v>15648.552631578948</v>
      </c>
      <c r="H16" s="159">
        <v>955.2</v>
      </c>
      <c r="I16" s="159">
        <f>E16/30.4*20*0.25</f>
        <v>1956.0690789473686</v>
      </c>
      <c r="J16" s="159"/>
      <c r="K16" s="232">
        <v>183.22</v>
      </c>
      <c r="L16" s="159">
        <v>507.76</v>
      </c>
      <c r="M16" s="128">
        <f>+((E16/2)-K16-L16)</f>
        <v>5255.4699999999993</v>
      </c>
    </row>
    <row r="17" spans="1:13" ht="15.75" thickBot="1">
      <c r="A17" s="117"/>
      <c r="B17" s="117"/>
      <c r="C17" s="118"/>
      <c r="D17" s="134"/>
      <c r="E17" s="120"/>
      <c r="F17" s="120"/>
      <c r="G17" s="120"/>
      <c r="H17" s="120"/>
      <c r="I17" s="120"/>
      <c r="J17" s="120"/>
      <c r="K17" s="120"/>
      <c r="L17" s="120"/>
      <c r="M17" s="123"/>
    </row>
    <row r="18" spans="1:13" ht="25.5">
      <c r="A18" s="143"/>
      <c r="B18" s="143"/>
      <c r="C18" s="163"/>
      <c r="D18" s="164" t="s">
        <v>28</v>
      </c>
      <c r="E18" s="233">
        <f>SUM(E9:E16)</f>
        <v>104576.54</v>
      </c>
      <c r="F18" s="233">
        <f>SUM(F9:F16)</f>
        <v>1416.7</v>
      </c>
      <c r="G18" s="233">
        <f>+G19/12</f>
        <v>11466.725877192985</v>
      </c>
      <c r="H18" s="233">
        <f>+H19/12</f>
        <v>833.81083333333333</v>
      </c>
      <c r="I18" s="233">
        <f>+I19/2</f>
        <v>8600.0444078947385</v>
      </c>
      <c r="J18" s="233">
        <f>SUM(J9:J16)</f>
        <v>0</v>
      </c>
      <c r="K18" s="233">
        <f>SUM(K9:K16)*2</f>
        <v>2460.84</v>
      </c>
      <c r="L18" s="233">
        <f>SUM(L9:L16)*2</f>
        <v>10893.920000000002</v>
      </c>
      <c r="M18" s="233">
        <f>SUM(M9:M16)*2</f>
        <v>92638.48000000001</v>
      </c>
    </row>
    <row r="19" spans="1:13" ht="26.25" thickBot="1">
      <c r="A19" s="143"/>
      <c r="B19" s="143"/>
      <c r="C19" s="143"/>
      <c r="D19" s="166" t="s">
        <v>29</v>
      </c>
      <c r="E19" s="182">
        <f>+E18*12</f>
        <v>1254918.48</v>
      </c>
      <c r="F19" s="182">
        <f>+F18*12</f>
        <v>17000.400000000001</v>
      </c>
      <c r="G19" s="182">
        <f>SUM(G9:G16)</f>
        <v>137600.71052631582</v>
      </c>
      <c r="H19" s="182">
        <f>SUM(H9:H16)</f>
        <v>10005.73</v>
      </c>
      <c r="I19" s="182">
        <f>SUM(I9:I16)</f>
        <v>17200.088815789477</v>
      </c>
      <c r="J19" s="182">
        <f>+J18*12</f>
        <v>0</v>
      </c>
      <c r="K19" s="182">
        <f>+K18*12</f>
        <v>29530.080000000002</v>
      </c>
      <c r="L19" s="182">
        <f>+L18*12</f>
        <v>130727.04000000002</v>
      </c>
      <c r="M19" s="182">
        <f>+M18*12</f>
        <v>1111661.7600000002</v>
      </c>
    </row>
    <row r="20" spans="1:13">
      <c r="A20" s="168" t="s">
        <v>30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>
      <c r="A21" s="168" t="s">
        <v>31</v>
      </c>
      <c r="B21" s="143"/>
      <c r="C21" s="143"/>
      <c r="D21" s="143"/>
      <c r="E21" s="169"/>
      <c r="F21" s="143"/>
      <c r="G21" s="143"/>
      <c r="H21" s="143"/>
      <c r="I21" s="143"/>
      <c r="J21" s="143"/>
      <c r="K21" s="143"/>
      <c r="L21" s="169"/>
      <c r="M21" s="143"/>
    </row>
    <row r="22" spans="1:13">
      <c r="A22" s="168" t="s">
        <v>32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168" t="s">
        <v>33</v>
      </c>
      <c r="B23" s="143"/>
      <c r="C23" s="143"/>
      <c r="D23" s="143"/>
      <c r="E23" s="169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168" t="s">
        <v>34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168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>
      <c r="A26" s="168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168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</row>
  </sheetData>
  <mergeCells count="16">
    <mergeCell ref="M6:M7"/>
    <mergeCell ref="A1:M1"/>
    <mergeCell ref="I3:M3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305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6"/>
  <sheetViews>
    <sheetView zoomScale="70" zoomScaleNormal="70" workbookViewId="0">
      <selection activeCell="J30" sqref="J30"/>
    </sheetView>
  </sheetViews>
  <sheetFormatPr baseColWidth="10" defaultRowHeight="15"/>
  <cols>
    <col min="2" max="2" width="26.140625" customWidth="1"/>
    <col min="8" max="8" width="15.7109375" customWidth="1"/>
  </cols>
  <sheetData>
    <row r="4" spans="1:13">
      <c r="A4" s="168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3" ht="15.75">
      <c r="A6" s="323" t="s">
        <v>0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</row>
    <row r="7" spans="1:13" ht="15.75" thickBot="1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</row>
    <row r="8" spans="1:13">
      <c r="A8" s="136" t="s">
        <v>1</v>
      </c>
      <c r="B8" s="304"/>
      <c r="C8" s="138"/>
      <c r="D8" s="304"/>
      <c r="E8" s="304"/>
      <c r="F8" s="304"/>
      <c r="G8" s="304"/>
      <c r="H8" s="304"/>
      <c r="I8" s="325" t="s">
        <v>35</v>
      </c>
      <c r="J8" s="326"/>
      <c r="K8" s="326"/>
      <c r="L8" s="326"/>
      <c r="M8" s="327"/>
    </row>
    <row r="9" spans="1:13" ht="15.75" thickBot="1">
      <c r="A9" s="328" t="s">
        <v>274</v>
      </c>
      <c r="B9" s="329"/>
      <c r="C9" s="329"/>
      <c r="D9" s="329"/>
      <c r="E9" s="141"/>
      <c r="F9" s="141"/>
      <c r="G9" s="141"/>
      <c r="H9" s="141"/>
      <c r="I9" s="141"/>
      <c r="J9" s="141"/>
      <c r="K9" s="141"/>
      <c r="L9" s="141"/>
      <c r="M9" s="142"/>
    </row>
    <row r="10" spans="1:13" ht="15.75" thickBot="1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</row>
    <row r="11" spans="1:13">
      <c r="A11" s="330" t="s">
        <v>4</v>
      </c>
      <c r="B11" s="332" t="s">
        <v>5</v>
      </c>
      <c r="C11" s="332" t="s">
        <v>6</v>
      </c>
      <c r="D11" s="332" t="s">
        <v>7</v>
      </c>
      <c r="E11" s="332" t="s">
        <v>8</v>
      </c>
      <c r="F11" s="332" t="s">
        <v>9</v>
      </c>
      <c r="G11" s="332" t="s">
        <v>10</v>
      </c>
      <c r="H11" s="332" t="s">
        <v>11</v>
      </c>
      <c r="I11" s="332" t="s">
        <v>12</v>
      </c>
      <c r="J11" s="332" t="s">
        <v>13</v>
      </c>
      <c r="K11" s="332" t="s">
        <v>14</v>
      </c>
      <c r="L11" s="332" t="s">
        <v>15</v>
      </c>
      <c r="M11" s="321" t="s">
        <v>180</v>
      </c>
    </row>
    <row r="12" spans="1:13" ht="15.75" thickBot="1">
      <c r="A12" s="331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22"/>
    </row>
    <row r="13" spans="1:13">
      <c r="A13" s="143"/>
      <c r="B13" s="143"/>
      <c r="C13" s="154"/>
      <c r="D13" s="143"/>
      <c r="E13" s="143"/>
      <c r="F13" s="143"/>
      <c r="G13" s="143"/>
      <c r="H13" s="234"/>
      <c r="I13" s="143"/>
      <c r="J13" s="143"/>
      <c r="K13" s="143"/>
      <c r="L13" s="143"/>
      <c r="M13" s="143"/>
    </row>
    <row r="14" spans="1:13" ht="15.75" thickBot="1">
      <c r="A14" s="303"/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</row>
    <row r="15" spans="1:13">
      <c r="A15" s="183" t="s">
        <v>182</v>
      </c>
      <c r="B15" s="170" t="s">
        <v>276</v>
      </c>
      <c r="C15" s="171" t="s">
        <v>23</v>
      </c>
      <c r="D15" s="204">
        <v>45658</v>
      </c>
      <c r="E15" s="205">
        <v>6941.38</v>
      </c>
      <c r="F15" s="170"/>
      <c r="G15" s="235">
        <f>E15/30.4*40</f>
        <v>9133.3947368421068</v>
      </c>
      <c r="H15" s="235"/>
      <c r="I15" s="235">
        <f>E15/30.4*20*0.25</f>
        <v>1141.6743421052633</v>
      </c>
      <c r="J15" s="236"/>
      <c r="K15" s="159">
        <v>149.32</v>
      </c>
      <c r="L15" s="237">
        <v>220.69</v>
      </c>
      <c r="M15" s="128">
        <f t="shared" ref="M15" si="0">+((E15/2)-K15-L15)</f>
        <v>3100.68</v>
      </c>
    </row>
    <row r="16" spans="1:13" ht="15.75" thickBot="1">
      <c r="A16" s="207"/>
      <c r="B16" s="208"/>
      <c r="C16" s="209"/>
      <c r="D16" s="170"/>
      <c r="E16" s="170"/>
      <c r="F16" s="170"/>
      <c r="G16" s="170"/>
      <c r="H16" s="170"/>
      <c r="I16" s="170"/>
      <c r="J16" s="170"/>
      <c r="K16" s="170"/>
      <c r="L16" s="170"/>
      <c r="M16" s="206"/>
    </row>
    <row r="17" spans="1:13" ht="25.5">
      <c r="A17" s="143"/>
      <c r="B17" s="143"/>
      <c r="C17" s="163"/>
      <c r="D17" s="164" t="s">
        <v>28</v>
      </c>
      <c r="E17" s="233">
        <f>+E15</f>
        <v>6941.38</v>
      </c>
      <c r="F17" s="233">
        <f t="shared" ref="F17:L17" si="1">+F15</f>
        <v>0</v>
      </c>
      <c r="G17" s="233">
        <f t="shared" si="1"/>
        <v>9133.3947368421068</v>
      </c>
      <c r="H17" s="233">
        <f t="shared" si="1"/>
        <v>0</v>
      </c>
      <c r="I17" s="233">
        <f t="shared" si="1"/>
        <v>1141.6743421052633</v>
      </c>
      <c r="J17" s="233">
        <f t="shared" si="1"/>
        <v>0</v>
      </c>
      <c r="K17" s="233">
        <f t="shared" si="1"/>
        <v>149.32</v>
      </c>
      <c r="L17" s="233">
        <f t="shared" si="1"/>
        <v>220.69</v>
      </c>
      <c r="M17" s="233">
        <f>+M15*2</f>
        <v>6201.36</v>
      </c>
    </row>
    <row r="18" spans="1:13" ht="26.25" thickBot="1">
      <c r="A18" s="143"/>
      <c r="B18" s="143"/>
      <c r="C18" s="143"/>
      <c r="D18" s="166" t="s">
        <v>29</v>
      </c>
      <c r="E18" s="182">
        <f>+E17*12</f>
        <v>83296.56</v>
      </c>
      <c r="F18" s="182">
        <f>+F17*12</f>
        <v>0</v>
      </c>
      <c r="G18" s="182">
        <f>SUM(G14:G15)</f>
        <v>9133.3947368421068</v>
      </c>
      <c r="H18" s="182" t="e">
        <f>SUM(#REF!)</f>
        <v>#REF!</v>
      </c>
      <c r="I18" s="182">
        <f>SUM(I14:I16)</f>
        <v>1141.6743421052633</v>
      </c>
      <c r="J18" s="182">
        <f t="shared" ref="J18" si="2">SUM(J14:J16)</f>
        <v>0</v>
      </c>
      <c r="K18" s="182">
        <f t="shared" ref="K18:L18" si="3">+K17*12</f>
        <v>1791.84</v>
      </c>
      <c r="L18" s="182">
        <f t="shared" si="3"/>
        <v>2648.2799999999997</v>
      </c>
      <c r="M18" s="182">
        <f>+M17*12</f>
        <v>74416.319999999992</v>
      </c>
    </row>
    <row r="19" spans="1:13">
      <c r="A19" s="168" t="s">
        <v>30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168" t="s">
        <v>31</v>
      </c>
      <c r="B20" s="143"/>
      <c r="C20" s="143"/>
      <c r="D20" s="143"/>
      <c r="E20" s="169"/>
      <c r="F20" s="143"/>
      <c r="G20" s="143"/>
      <c r="H20" s="143"/>
      <c r="I20" s="143"/>
      <c r="J20" s="143"/>
      <c r="K20" s="143"/>
      <c r="L20" s="169"/>
      <c r="M20" s="143"/>
    </row>
    <row r="21" spans="1:13">
      <c r="A21" s="168" t="s">
        <v>32</v>
      </c>
      <c r="B21" s="143"/>
      <c r="C21" s="143"/>
      <c r="D21" s="143"/>
      <c r="E21" s="169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168" t="s">
        <v>33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168" t="s">
        <v>34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303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</row>
    <row r="25" spans="1:13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</row>
    <row r="26" spans="1:13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</row>
  </sheetData>
  <mergeCells count="16">
    <mergeCell ref="M11:M12"/>
    <mergeCell ref="A6:M6"/>
    <mergeCell ref="I8:M8"/>
    <mergeCell ref="A9:D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opLeftCell="A46" zoomScale="60" zoomScaleNormal="60" workbookViewId="0">
      <selection activeCell="A69" sqref="A69"/>
    </sheetView>
  </sheetViews>
  <sheetFormatPr baseColWidth="10" defaultRowHeight="15"/>
  <cols>
    <col min="1" max="1" width="16.85546875" style="124" customWidth="1"/>
    <col min="2" max="2" width="18.42578125" style="193" customWidth="1"/>
    <col min="5" max="5" width="17.7109375" customWidth="1"/>
    <col min="6" max="6" width="13.7109375" customWidth="1"/>
    <col min="7" max="7" width="14" customWidth="1"/>
    <col min="8" max="8" width="12.85546875" customWidth="1"/>
    <col min="9" max="9" width="13.85546875" customWidth="1"/>
    <col min="10" max="10" width="8.5703125" customWidth="1"/>
    <col min="11" max="11" width="13.5703125" customWidth="1"/>
    <col min="12" max="12" width="14" customWidth="1"/>
    <col min="13" max="13" width="18.28515625" bestFit="1" customWidth="1"/>
  </cols>
  <sheetData>
    <row r="1" spans="1:15" ht="15.75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5" ht="15.75" thickBot="1">
      <c r="B2" s="18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5">
      <c r="A3" s="136" t="s">
        <v>79</v>
      </c>
      <c r="B3" s="185"/>
      <c r="C3" s="138"/>
      <c r="D3" s="137"/>
      <c r="E3" s="137"/>
      <c r="F3" s="137"/>
      <c r="G3" s="137"/>
      <c r="H3" s="137"/>
      <c r="I3" s="325" t="s">
        <v>35</v>
      </c>
      <c r="J3" s="326"/>
      <c r="K3" s="326"/>
      <c r="L3" s="326"/>
      <c r="M3" s="327"/>
    </row>
    <row r="4" spans="1:15" ht="15.75" thickBot="1">
      <c r="A4" s="139" t="s">
        <v>183</v>
      </c>
      <c r="B4" s="186"/>
      <c r="C4" s="140"/>
      <c r="D4" s="140"/>
      <c r="E4" s="141"/>
      <c r="F4" s="141"/>
      <c r="G4" s="141"/>
      <c r="H4" s="141"/>
      <c r="I4" s="141"/>
      <c r="J4" s="141"/>
      <c r="K4" s="141"/>
      <c r="L4" s="141"/>
      <c r="M4" s="142"/>
    </row>
    <row r="5" spans="1:15" ht="15.75" thickBot="1">
      <c r="A5" s="143"/>
      <c r="B5" s="187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5" ht="51">
      <c r="A6" s="144" t="s">
        <v>4</v>
      </c>
      <c r="B6" s="145" t="s">
        <v>5</v>
      </c>
      <c r="C6" s="145" t="s">
        <v>6</v>
      </c>
      <c r="D6" s="145" t="s">
        <v>7</v>
      </c>
      <c r="E6" s="145" t="s">
        <v>8</v>
      </c>
      <c r="F6" s="145" t="s">
        <v>65</v>
      </c>
      <c r="G6" s="145" t="s">
        <v>10</v>
      </c>
      <c r="H6" s="146" t="s">
        <v>11</v>
      </c>
      <c r="I6" s="145" t="s">
        <v>12</v>
      </c>
      <c r="J6" s="145" t="s">
        <v>13</v>
      </c>
      <c r="K6" s="145" t="s">
        <v>14</v>
      </c>
      <c r="L6" s="145" t="s">
        <v>15</v>
      </c>
      <c r="M6" s="147" t="s">
        <v>16</v>
      </c>
    </row>
    <row r="7" spans="1:15" ht="15.75" thickBot="1">
      <c r="A7" s="148"/>
      <c r="B7" s="149"/>
      <c r="C7" s="149"/>
      <c r="D7" s="149"/>
      <c r="E7" s="149"/>
      <c r="F7" s="149"/>
      <c r="G7" s="149"/>
      <c r="H7" s="150"/>
      <c r="I7" s="149"/>
      <c r="J7" s="149"/>
      <c r="K7" s="151"/>
      <c r="L7" s="151"/>
      <c r="M7" s="152"/>
    </row>
    <row r="8" spans="1:15">
      <c r="A8" s="153"/>
      <c r="B8" s="188"/>
      <c r="C8" s="15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5" ht="27" customHeight="1">
      <c r="A9" s="155" t="s">
        <v>184</v>
      </c>
      <c r="B9" s="189" t="s">
        <v>185</v>
      </c>
      <c r="C9" s="156" t="s">
        <v>19</v>
      </c>
      <c r="D9" s="157">
        <v>45536</v>
      </c>
      <c r="E9" s="158">
        <v>20832.32</v>
      </c>
      <c r="F9" s="159"/>
      <c r="G9" s="159">
        <f t="shared" ref="G9:G40" si="0">E9/30.4*40</f>
        <v>27410.947368421053</v>
      </c>
      <c r="H9" s="159">
        <v>4813.0200000000004</v>
      </c>
      <c r="I9" s="159">
        <f t="shared" ref="I9:I40" si="1">E9/30.4*20*0.25</f>
        <v>3426.3684210526317</v>
      </c>
      <c r="J9" s="159"/>
      <c r="K9" s="159">
        <v>295.14</v>
      </c>
      <c r="L9" s="159">
        <v>1390.44</v>
      </c>
      <c r="M9" s="159">
        <f>+((E9/2)-K9-L9)</f>
        <v>8730.58</v>
      </c>
    </row>
    <row r="10" spans="1:15" ht="27" customHeight="1">
      <c r="A10" s="155" t="s">
        <v>186</v>
      </c>
      <c r="B10" s="189" t="s">
        <v>187</v>
      </c>
      <c r="C10" s="156" t="s">
        <v>19</v>
      </c>
      <c r="D10" s="157">
        <v>45580</v>
      </c>
      <c r="E10" s="158">
        <f>15932.44+318.65</f>
        <v>16251.09</v>
      </c>
      <c r="F10" s="159"/>
      <c r="G10" s="159">
        <f t="shared" si="0"/>
        <v>21383.01315789474</v>
      </c>
      <c r="H10" s="159">
        <v>3692.77</v>
      </c>
      <c r="I10" s="159">
        <f t="shared" si="1"/>
        <v>2672.8766447368425</v>
      </c>
      <c r="J10" s="159"/>
      <c r="K10" s="159">
        <v>235.12</v>
      </c>
      <c r="L10" s="159">
        <v>758.27</v>
      </c>
      <c r="M10" s="159">
        <f t="shared" ref="M10" si="2">+((E10/2)-K10-L10)</f>
        <v>7132.1550000000007</v>
      </c>
      <c r="N10" s="1"/>
      <c r="O10" s="1"/>
    </row>
    <row r="11" spans="1:15" ht="27" customHeight="1">
      <c r="A11" s="155" t="s">
        <v>188</v>
      </c>
      <c r="B11" s="189" t="s">
        <v>189</v>
      </c>
      <c r="C11" s="156" t="s">
        <v>19</v>
      </c>
      <c r="D11" s="157">
        <v>42248</v>
      </c>
      <c r="E11" s="158">
        <f>10553.26+211.06</f>
        <v>10764.32</v>
      </c>
      <c r="F11" s="159">
        <v>1096.3599999999999</v>
      </c>
      <c r="G11" s="159">
        <f t="shared" si="0"/>
        <v>14163.578947368422</v>
      </c>
      <c r="H11" s="159">
        <v>1853.32</v>
      </c>
      <c r="I11" s="159">
        <f t="shared" si="1"/>
        <v>1770.4473684210527</v>
      </c>
      <c r="J11" s="159"/>
      <c r="K11" s="159">
        <v>156.51</v>
      </c>
      <c r="L11" s="159">
        <v>306.56</v>
      </c>
      <c r="M11" s="159">
        <f>+(((E11+F11)/2)-K11-L11)</f>
        <v>5467.2699999999995</v>
      </c>
      <c r="N11" s="1"/>
      <c r="O11" s="1"/>
    </row>
    <row r="12" spans="1:15" ht="27" customHeight="1">
      <c r="A12" s="155" t="s">
        <v>190</v>
      </c>
      <c r="B12" s="189" t="s">
        <v>189</v>
      </c>
      <c r="C12" s="156" t="s">
        <v>23</v>
      </c>
      <c r="D12" s="157">
        <v>42248</v>
      </c>
      <c r="E12" s="158">
        <f>10553.26+211.06</f>
        <v>10764.32</v>
      </c>
      <c r="F12" s="159">
        <v>1096.3599999999999</v>
      </c>
      <c r="G12" s="159">
        <f t="shared" si="0"/>
        <v>14163.578947368422</v>
      </c>
      <c r="H12" s="159">
        <v>1853.32</v>
      </c>
      <c r="I12" s="159">
        <f t="shared" si="1"/>
        <v>1770.4473684210527</v>
      </c>
      <c r="J12" s="159"/>
      <c r="K12" s="159">
        <v>156.51</v>
      </c>
      <c r="L12" s="159">
        <v>306.56</v>
      </c>
      <c r="M12" s="159">
        <f t="shared" ref="M12:M40" si="3">+(((E12+F12)/2)-K12-L12)</f>
        <v>5467.2699999999995</v>
      </c>
      <c r="N12" s="1"/>
      <c r="O12" s="1"/>
    </row>
    <row r="13" spans="1:15" ht="27" customHeight="1">
      <c r="A13" s="155" t="s">
        <v>191</v>
      </c>
      <c r="B13" s="189" t="s">
        <v>192</v>
      </c>
      <c r="C13" s="156" t="s">
        <v>23</v>
      </c>
      <c r="D13" s="157">
        <v>42614</v>
      </c>
      <c r="E13" s="158">
        <f>9684.38+193.68</f>
        <v>9878.06</v>
      </c>
      <c r="F13" s="159"/>
      <c r="G13" s="159">
        <f t="shared" si="0"/>
        <v>12997.447368421053</v>
      </c>
      <c r="H13" s="159">
        <v>1079.3</v>
      </c>
      <c r="I13" s="159">
        <f t="shared" si="1"/>
        <v>1624.6809210526317</v>
      </c>
      <c r="J13" s="159"/>
      <c r="K13" s="159">
        <v>156.51</v>
      </c>
      <c r="L13" s="159">
        <v>306.56</v>
      </c>
      <c r="M13" s="159">
        <f t="shared" si="3"/>
        <v>4475.9599999999991</v>
      </c>
      <c r="N13" s="1"/>
      <c r="O13" s="1"/>
    </row>
    <row r="14" spans="1:15" ht="27" customHeight="1">
      <c r="A14" s="155" t="s">
        <v>193</v>
      </c>
      <c r="B14" s="189" t="s">
        <v>189</v>
      </c>
      <c r="C14" s="156" t="s">
        <v>19</v>
      </c>
      <c r="D14" s="157">
        <v>45536</v>
      </c>
      <c r="E14" s="158">
        <f t="shared" ref="E14:E27" si="4">10553.26+211.06</f>
        <v>10764.32</v>
      </c>
      <c r="F14" s="159">
        <v>1096.3599999999999</v>
      </c>
      <c r="G14" s="159">
        <f t="shared" si="0"/>
        <v>14163.578947368422</v>
      </c>
      <c r="H14" s="159">
        <v>2400.27</v>
      </c>
      <c r="I14" s="159">
        <f t="shared" si="1"/>
        <v>1770.4473684210527</v>
      </c>
      <c r="J14" s="159"/>
      <c r="K14" s="159">
        <v>156.51</v>
      </c>
      <c r="L14" s="159">
        <v>306.56</v>
      </c>
      <c r="M14" s="159">
        <f t="shared" si="3"/>
        <v>5467.2699999999995</v>
      </c>
      <c r="N14" s="1"/>
      <c r="O14" s="1"/>
    </row>
    <row r="15" spans="1:15" ht="27" customHeight="1">
      <c r="A15" s="155" t="s">
        <v>194</v>
      </c>
      <c r="B15" s="189" t="s">
        <v>189</v>
      </c>
      <c r="C15" s="156" t="s">
        <v>23</v>
      </c>
      <c r="D15" s="157">
        <v>43045</v>
      </c>
      <c r="E15" s="158">
        <f t="shared" si="4"/>
        <v>10764.32</v>
      </c>
      <c r="F15" s="159">
        <v>1096.3599999999999</v>
      </c>
      <c r="G15" s="159">
        <f t="shared" si="0"/>
        <v>14163.578947368422</v>
      </c>
      <c r="H15" s="159">
        <v>1833.61</v>
      </c>
      <c r="I15" s="159">
        <f t="shared" si="1"/>
        <v>1770.4473684210527</v>
      </c>
      <c r="J15" s="159"/>
      <c r="K15" s="159">
        <v>156.51</v>
      </c>
      <c r="L15" s="159">
        <v>306.56</v>
      </c>
      <c r="M15" s="159">
        <f t="shared" si="3"/>
        <v>5467.2699999999995</v>
      </c>
      <c r="N15" s="1"/>
      <c r="O15" s="1"/>
    </row>
    <row r="16" spans="1:15" ht="27" customHeight="1">
      <c r="A16" s="155" t="s">
        <v>195</v>
      </c>
      <c r="B16" s="189" t="s">
        <v>189</v>
      </c>
      <c r="C16" s="156" t="s">
        <v>23</v>
      </c>
      <c r="D16" s="157">
        <v>43420</v>
      </c>
      <c r="E16" s="158">
        <f t="shared" si="4"/>
        <v>10764.32</v>
      </c>
      <c r="F16" s="159"/>
      <c r="G16" s="159">
        <f t="shared" si="0"/>
        <v>14163.578947368422</v>
      </c>
      <c r="H16" s="159">
        <v>1770.34</v>
      </c>
      <c r="I16" s="159">
        <f t="shared" si="1"/>
        <v>1770.4473684210527</v>
      </c>
      <c r="J16" s="159"/>
      <c r="K16" s="159">
        <v>156.51</v>
      </c>
      <c r="L16" s="159">
        <v>306.56</v>
      </c>
      <c r="M16" s="159">
        <f t="shared" si="3"/>
        <v>4919.0899999999992</v>
      </c>
      <c r="N16" s="1"/>
      <c r="O16" s="1"/>
    </row>
    <row r="17" spans="1:15" ht="27" customHeight="1">
      <c r="A17" s="155" t="s">
        <v>196</v>
      </c>
      <c r="B17" s="189" t="s">
        <v>189</v>
      </c>
      <c r="C17" s="156" t="s">
        <v>23</v>
      </c>
      <c r="D17" s="157">
        <v>43435</v>
      </c>
      <c r="E17" s="158">
        <f t="shared" si="4"/>
        <v>10764.32</v>
      </c>
      <c r="F17" s="159">
        <v>1096.3599999999999</v>
      </c>
      <c r="G17" s="159">
        <f t="shared" si="0"/>
        <v>14163.578947368422</v>
      </c>
      <c r="H17" s="159">
        <v>1853.09</v>
      </c>
      <c r="I17" s="159">
        <f t="shared" si="1"/>
        <v>1770.4473684210527</v>
      </c>
      <c r="J17" s="159"/>
      <c r="K17" s="159">
        <v>156.51</v>
      </c>
      <c r="L17" s="159">
        <v>306.56</v>
      </c>
      <c r="M17" s="159">
        <f t="shared" si="3"/>
        <v>5467.2699999999995</v>
      </c>
      <c r="N17" s="1"/>
      <c r="O17" s="1"/>
    </row>
    <row r="18" spans="1:15" ht="27" customHeight="1">
      <c r="A18" s="155" t="s">
        <v>238</v>
      </c>
      <c r="B18" s="189" t="s">
        <v>189</v>
      </c>
      <c r="C18" s="156" t="s">
        <v>23</v>
      </c>
      <c r="D18" s="157">
        <v>45536</v>
      </c>
      <c r="E18" s="158">
        <f t="shared" si="4"/>
        <v>10764.32</v>
      </c>
      <c r="F18" s="159">
        <v>1096.3599999999999</v>
      </c>
      <c r="G18" s="159">
        <f t="shared" si="0"/>
        <v>14163.578947368422</v>
      </c>
      <c r="H18" s="159">
        <v>1833.61</v>
      </c>
      <c r="I18" s="159">
        <f t="shared" si="1"/>
        <v>1770.4473684210527</v>
      </c>
      <c r="J18" s="159"/>
      <c r="K18" s="159">
        <v>156.51</v>
      </c>
      <c r="L18" s="159">
        <v>306.56</v>
      </c>
      <c r="M18" s="159">
        <f t="shared" si="3"/>
        <v>5467.2699999999995</v>
      </c>
      <c r="N18" s="1"/>
      <c r="O18" s="1"/>
    </row>
    <row r="19" spans="1:15" ht="27" customHeight="1">
      <c r="A19" s="155" t="s">
        <v>197</v>
      </c>
      <c r="B19" s="189" t="s">
        <v>189</v>
      </c>
      <c r="C19" s="156" t="s">
        <v>23</v>
      </c>
      <c r="D19" s="157">
        <v>43877</v>
      </c>
      <c r="E19" s="158">
        <f t="shared" si="4"/>
        <v>10764.32</v>
      </c>
      <c r="F19" s="159">
        <v>1096.3599999999999</v>
      </c>
      <c r="G19" s="159">
        <f t="shared" si="0"/>
        <v>14163.578947368422</v>
      </c>
      <c r="H19" s="159">
        <v>1770.34</v>
      </c>
      <c r="I19" s="159">
        <f t="shared" si="1"/>
        <v>1770.4473684210527</v>
      </c>
      <c r="J19" s="159"/>
      <c r="K19" s="159">
        <v>156.51</v>
      </c>
      <c r="L19" s="159">
        <v>306.56</v>
      </c>
      <c r="M19" s="159">
        <f t="shared" si="3"/>
        <v>5467.2699999999995</v>
      </c>
      <c r="N19" s="1"/>
      <c r="O19" s="1"/>
    </row>
    <row r="20" spans="1:15" ht="27" customHeight="1">
      <c r="A20" s="155" t="s">
        <v>198</v>
      </c>
      <c r="B20" s="189" t="s">
        <v>62</v>
      </c>
      <c r="C20" s="156" t="s">
        <v>23</v>
      </c>
      <c r="D20" s="157">
        <v>43678</v>
      </c>
      <c r="E20" s="158">
        <f t="shared" si="4"/>
        <v>10764.32</v>
      </c>
      <c r="F20" s="159"/>
      <c r="G20" s="159">
        <f t="shared" si="0"/>
        <v>14163.578947368422</v>
      </c>
      <c r="H20" s="159">
        <v>1770.34</v>
      </c>
      <c r="I20" s="159">
        <f t="shared" si="1"/>
        <v>1770.4473684210527</v>
      </c>
      <c r="J20" s="159"/>
      <c r="K20" s="159">
        <v>156.51</v>
      </c>
      <c r="L20" s="159">
        <v>306.56</v>
      </c>
      <c r="M20" s="159">
        <f t="shared" si="3"/>
        <v>4919.0899999999992</v>
      </c>
      <c r="N20" s="1"/>
      <c r="O20" s="1"/>
    </row>
    <row r="21" spans="1:15" ht="27" customHeight="1">
      <c r="A21" s="155" t="s">
        <v>199</v>
      </c>
      <c r="B21" s="189" t="s">
        <v>189</v>
      </c>
      <c r="C21" s="156" t="s">
        <v>23</v>
      </c>
      <c r="D21" s="157">
        <v>45536</v>
      </c>
      <c r="E21" s="158">
        <f t="shared" si="4"/>
        <v>10764.32</v>
      </c>
      <c r="F21" s="159"/>
      <c r="G21" s="159">
        <f t="shared" si="0"/>
        <v>14163.578947368422</v>
      </c>
      <c r="H21" s="159">
        <v>1770.34</v>
      </c>
      <c r="I21" s="159">
        <f t="shared" si="1"/>
        <v>1770.4473684210527</v>
      </c>
      <c r="J21" s="159"/>
      <c r="K21" s="159">
        <v>156.51</v>
      </c>
      <c r="L21" s="159">
        <v>306.56</v>
      </c>
      <c r="M21" s="159">
        <f t="shared" si="3"/>
        <v>4919.0899999999992</v>
      </c>
      <c r="N21" s="1"/>
      <c r="O21" s="1"/>
    </row>
    <row r="22" spans="1:15" ht="27" customHeight="1">
      <c r="A22" s="155" t="s">
        <v>200</v>
      </c>
      <c r="B22" s="189" t="s">
        <v>189</v>
      </c>
      <c r="C22" s="156" t="s">
        <v>23</v>
      </c>
      <c r="D22" s="157">
        <v>44136</v>
      </c>
      <c r="E22" s="158">
        <f t="shared" si="4"/>
        <v>10764.32</v>
      </c>
      <c r="F22" s="159">
        <v>1096.3599999999999</v>
      </c>
      <c r="G22" s="159">
        <f t="shared" si="0"/>
        <v>14163.578947368422</v>
      </c>
      <c r="H22" s="159">
        <v>1770.34</v>
      </c>
      <c r="I22" s="159">
        <f t="shared" si="1"/>
        <v>1770.4473684210527</v>
      </c>
      <c r="J22" s="159"/>
      <c r="K22" s="159">
        <v>156.51</v>
      </c>
      <c r="L22" s="159">
        <v>306.56</v>
      </c>
      <c r="M22" s="159">
        <f t="shared" si="3"/>
        <v>5467.2699999999995</v>
      </c>
      <c r="N22" s="1"/>
      <c r="O22" s="1"/>
    </row>
    <row r="23" spans="1:15" ht="27" customHeight="1">
      <c r="A23" s="155" t="s">
        <v>237</v>
      </c>
      <c r="B23" s="189" t="s">
        <v>201</v>
      </c>
      <c r="C23" s="156" t="s">
        <v>19</v>
      </c>
      <c r="D23" s="157">
        <v>44302</v>
      </c>
      <c r="E23" s="158">
        <f t="shared" si="4"/>
        <v>10764.32</v>
      </c>
      <c r="F23" s="159">
        <v>2643.38</v>
      </c>
      <c r="G23" s="159">
        <f t="shared" si="0"/>
        <v>14163.578947368422</v>
      </c>
      <c r="H23" s="159">
        <v>2502.2800000000002</v>
      </c>
      <c r="I23" s="159">
        <f t="shared" si="1"/>
        <v>1770.4473684210527</v>
      </c>
      <c r="J23" s="159"/>
      <c r="K23" s="159">
        <v>156.51</v>
      </c>
      <c r="L23" s="159">
        <v>306.56</v>
      </c>
      <c r="M23" s="159">
        <f t="shared" si="3"/>
        <v>6240.78</v>
      </c>
      <c r="N23" s="1"/>
      <c r="O23" s="1"/>
    </row>
    <row r="24" spans="1:15" ht="27" customHeight="1">
      <c r="A24" s="155" t="s">
        <v>202</v>
      </c>
      <c r="B24" s="189" t="s">
        <v>189</v>
      </c>
      <c r="C24" s="156" t="s">
        <v>23</v>
      </c>
      <c r="D24" s="160">
        <v>44455</v>
      </c>
      <c r="E24" s="158">
        <f t="shared" si="4"/>
        <v>10764.32</v>
      </c>
      <c r="F24" s="159">
        <v>2643.38</v>
      </c>
      <c r="G24" s="159">
        <f t="shared" si="0"/>
        <v>14163.578947368422</v>
      </c>
      <c r="H24" s="159">
        <v>2502.2800000000002</v>
      </c>
      <c r="I24" s="159">
        <f t="shared" si="1"/>
        <v>1770.4473684210527</v>
      </c>
      <c r="J24" s="159"/>
      <c r="K24" s="159">
        <v>156.51</v>
      </c>
      <c r="L24" s="159">
        <v>306.56</v>
      </c>
      <c r="M24" s="159">
        <f t="shared" si="3"/>
        <v>6240.78</v>
      </c>
      <c r="N24" s="1"/>
      <c r="O24" s="1"/>
    </row>
    <row r="25" spans="1:15" ht="27" customHeight="1">
      <c r="A25" s="155" t="s">
        <v>63</v>
      </c>
      <c r="B25" s="189" t="s">
        <v>189</v>
      </c>
      <c r="C25" s="156" t="s">
        <v>19</v>
      </c>
      <c r="D25" s="157">
        <v>46023</v>
      </c>
      <c r="E25" s="158">
        <f t="shared" si="4"/>
        <v>10764.32</v>
      </c>
      <c r="F25" s="159">
        <v>1096.3599999999999</v>
      </c>
      <c r="G25" s="159">
        <f t="shared" si="0"/>
        <v>14163.578947368422</v>
      </c>
      <c r="H25" s="159">
        <v>1770.34</v>
      </c>
      <c r="I25" s="159">
        <f t="shared" si="1"/>
        <v>1770.4473684210527</v>
      </c>
      <c r="J25" s="159"/>
      <c r="K25" s="159">
        <v>156.51</v>
      </c>
      <c r="L25" s="159">
        <v>306.56</v>
      </c>
      <c r="M25" s="159">
        <f t="shared" si="3"/>
        <v>5467.2699999999995</v>
      </c>
      <c r="N25" s="1"/>
      <c r="O25" s="1"/>
    </row>
    <row r="26" spans="1:15" ht="27" customHeight="1">
      <c r="A26" s="155" t="s">
        <v>203</v>
      </c>
      <c r="B26" s="189" t="s">
        <v>189</v>
      </c>
      <c r="C26" s="156" t="s">
        <v>23</v>
      </c>
      <c r="D26" s="157">
        <v>43481</v>
      </c>
      <c r="E26" s="158">
        <f t="shared" si="4"/>
        <v>10764.32</v>
      </c>
      <c r="F26" s="159">
        <v>1096.3599999999999</v>
      </c>
      <c r="G26" s="159">
        <f t="shared" si="0"/>
        <v>14163.578947368422</v>
      </c>
      <c r="H26" s="159">
        <v>1833.61</v>
      </c>
      <c r="I26" s="159">
        <f t="shared" si="1"/>
        <v>1770.4473684210527</v>
      </c>
      <c r="J26" s="159"/>
      <c r="K26" s="159">
        <v>156.51</v>
      </c>
      <c r="L26" s="159">
        <v>306.56</v>
      </c>
      <c r="M26" s="159">
        <f t="shared" si="3"/>
        <v>5467.2699999999995</v>
      </c>
      <c r="N26" s="1"/>
      <c r="O26" s="1"/>
    </row>
    <row r="27" spans="1:15" ht="27" customHeight="1">
      <c r="A27" s="155" t="s">
        <v>241</v>
      </c>
      <c r="B27" s="189" t="s">
        <v>204</v>
      </c>
      <c r="C27" s="156" t="s">
        <v>23</v>
      </c>
      <c r="D27" s="157">
        <v>44470</v>
      </c>
      <c r="E27" s="158">
        <f t="shared" si="4"/>
        <v>10764.32</v>
      </c>
      <c r="F27" s="159"/>
      <c r="G27" s="159">
        <f t="shared" si="0"/>
        <v>14163.578947368422</v>
      </c>
      <c r="H27" s="159">
        <v>1770.34</v>
      </c>
      <c r="I27" s="159">
        <f t="shared" si="1"/>
        <v>1770.4473684210527</v>
      </c>
      <c r="J27" s="159"/>
      <c r="K27" s="159">
        <v>156.51</v>
      </c>
      <c r="L27" s="159">
        <v>306.56</v>
      </c>
      <c r="M27" s="159">
        <f t="shared" si="3"/>
        <v>4919.0899999999992</v>
      </c>
      <c r="N27" s="1"/>
      <c r="O27" s="1"/>
    </row>
    <row r="28" spans="1:15" ht="27" customHeight="1">
      <c r="A28" s="161" t="s">
        <v>240</v>
      </c>
      <c r="B28" s="189" t="s">
        <v>205</v>
      </c>
      <c r="C28" s="156" t="s">
        <v>23</v>
      </c>
      <c r="D28" s="157">
        <v>44531</v>
      </c>
      <c r="E28" s="158">
        <f>6364.68+127.29</f>
        <v>6491.97</v>
      </c>
      <c r="F28" s="159">
        <v>300</v>
      </c>
      <c r="G28" s="159">
        <f t="shared" si="0"/>
        <v>8542.0657894736851</v>
      </c>
      <c r="H28" s="159">
        <v>346.31</v>
      </c>
      <c r="I28" s="159">
        <f t="shared" si="1"/>
        <v>1067.7582236842106</v>
      </c>
      <c r="J28" s="159"/>
      <c r="K28" s="159">
        <v>103.13</v>
      </c>
      <c r="L28" s="159">
        <v>29.4</v>
      </c>
      <c r="M28" s="159">
        <f>+(((E28+F28)/2)-K28-L28)</f>
        <v>3263.4549999999999</v>
      </c>
      <c r="N28" s="1"/>
      <c r="O28" s="1"/>
    </row>
    <row r="29" spans="1:15" ht="27" customHeight="1">
      <c r="A29" s="161" t="s">
        <v>63</v>
      </c>
      <c r="B29" s="189" t="s">
        <v>189</v>
      </c>
      <c r="C29" s="156" t="s">
        <v>23</v>
      </c>
      <c r="D29" s="157">
        <v>44633</v>
      </c>
      <c r="E29" s="158">
        <f>10553.26+211.06</f>
        <v>10764.32</v>
      </c>
      <c r="F29" s="159">
        <v>1096.3599999999999</v>
      </c>
      <c r="G29" s="159">
        <f t="shared" si="0"/>
        <v>14163.578947368422</v>
      </c>
      <c r="H29" s="159">
        <v>1770.34</v>
      </c>
      <c r="I29" s="159">
        <f t="shared" si="1"/>
        <v>1770.4473684210527</v>
      </c>
      <c r="J29" s="159"/>
      <c r="K29" s="159">
        <v>156.51</v>
      </c>
      <c r="L29" s="159">
        <v>306.56</v>
      </c>
      <c r="M29" s="159">
        <f t="shared" si="3"/>
        <v>5467.2699999999995</v>
      </c>
      <c r="N29" s="1"/>
      <c r="O29" s="1"/>
    </row>
    <row r="30" spans="1:15" ht="27" customHeight="1">
      <c r="A30" s="161" t="s">
        <v>239</v>
      </c>
      <c r="B30" s="189" t="s">
        <v>205</v>
      </c>
      <c r="C30" s="156" t="s">
        <v>23</v>
      </c>
      <c r="D30" s="157">
        <v>44682</v>
      </c>
      <c r="E30" s="158">
        <v>6491.97</v>
      </c>
      <c r="F30" s="159">
        <v>300</v>
      </c>
      <c r="G30" s="159">
        <f t="shared" si="0"/>
        <v>8542.0657894736851</v>
      </c>
      <c r="H30" s="159">
        <v>346.31</v>
      </c>
      <c r="I30" s="159">
        <f t="shared" si="1"/>
        <v>1067.7582236842106</v>
      </c>
      <c r="J30" s="159"/>
      <c r="K30" s="159">
        <v>103.13</v>
      </c>
      <c r="L30" s="159">
        <v>29.4</v>
      </c>
      <c r="M30" s="159">
        <f t="shared" si="3"/>
        <v>3263.4549999999999</v>
      </c>
      <c r="N30" s="1"/>
      <c r="O30" s="1"/>
    </row>
    <row r="31" spans="1:15" ht="27" customHeight="1">
      <c r="A31" s="161" t="s">
        <v>206</v>
      </c>
      <c r="B31" s="189" t="s">
        <v>189</v>
      </c>
      <c r="C31" s="156" t="s">
        <v>23</v>
      </c>
      <c r="D31" s="157">
        <v>44820</v>
      </c>
      <c r="E31" s="158">
        <f t="shared" ref="E31:E41" si="5">10553.26+211.06</f>
        <v>10764.32</v>
      </c>
      <c r="F31" s="159">
        <v>1096.3599999999999</v>
      </c>
      <c r="G31" s="159">
        <f t="shared" si="0"/>
        <v>14163.578947368422</v>
      </c>
      <c r="H31" s="159">
        <v>1770.34</v>
      </c>
      <c r="I31" s="159">
        <f t="shared" si="1"/>
        <v>1770.4473684210527</v>
      </c>
      <c r="J31" s="159"/>
      <c r="K31" s="159">
        <v>156.51</v>
      </c>
      <c r="L31" s="159">
        <v>306.56</v>
      </c>
      <c r="M31" s="159">
        <f t="shared" si="3"/>
        <v>5467.2699999999995</v>
      </c>
      <c r="N31" s="1"/>
      <c r="O31" s="1"/>
    </row>
    <row r="32" spans="1:15" ht="27" customHeight="1">
      <c r="A32" s="161" t="s">
        <v>63</v>
      </c>
      <c r="B32" s="189" t="s">
        <v>189</v>
      </c>
      <c r="C32" s="156" t="s">
        <v>23</v>
      </c>
      <c r="D32" s="157">
        <v>44850</v>
      </c>
      <c r="E32" s="158">
        <f t="shared" si="5"/>
        <v>10764.32</v>
      </c>
      <c r="F32" s="159"/>
      <c r="G32" s="159">
        <f t="shared" si="0"/>
        <v>14163.578947368422</v>
      </c>
      <c r="H32" s="159">
        <v>1770.34</v>
      </c>
      <c r="I32" s="159">
        <f t="shared" si="1"/>
        <v>1770.4473684210527</v>
      </c>
      <c r="J32" s="159"/>
      <c r="K32" s="159">
        <v>156.51</v>
      </c>
      <c r="L32" s="159">
        <v>306.56</v>
      </c>
      <c r="M32" s="159">
        <f t="shared" si="3"/>
        <v>4919.0899999999992</v>
      </c>
      <c r="N32" s="1"/>
      <c r="O32" s="1"/>
    </row>
    <row r="33" spans="1:15" ht="27" customHeight="1">
      <c r="A33" s="161" t="s">
        <v>207</v>
      </c>
      <c r="B33" s="189" t="s">
        <v>189</v>
      </c>
      <c r="C33" s="156" t="s">
        <v>23</v>
      </c>
      <c r="D33" s="157">
        <v>44805</v>
      </c>
      <c r="E33" s="158">
        <f t="shared" si="5"/>
        <v>10764.32</v>
      </c>
      <c r="F33" s="159"/>
      <c r="G33" s="159">
        <f t="shared" si="0"/>
        <v>14163.578947368422</v>
      </c>
      <c r="H33" s="159">
        <v>1770.34</v>
      </c>
      <c r="I33" s="159">
        <f t="shared" si="1"/>
        <v>1770.4473684210527</v>
      </c>
      <c r="J33" s="159"/>
      <c r="K33" s="159">
        <v>156.51</v>
      </c>
      <c r="L33" s="159">
        <v>306.56</v>
      </c>
      <c r="M33" s="159">
        <f t="shared" si="3"/>
        <v>4919.0899999999992</v>
      </c>
      <c r="N33" s="1"/>
      <c r="O33" s="1"/>
    </row>
    <row r="34" spans="1:15" ht="27" customHeight="1">
      <c r="A34" s="161" t="s">
        <v>208</v>
      </c>
      <c r="B34" s="189" t="s">
        <v>189</v>
      </c>
      <c r="C34" s="156" t="s">
        <v>23</v>
      </c>
      <c r="D34" s="157">
        <v>44991</v>
      </c>
      <c r="E34" s="158">
        <f t="shared" si="5"/>
        <v>10764.32</v>
      </c>
      <c r="F34" s="159"/>
      <c r="G34" s="159">
        <f t="shared" si="0"/>
        <v>14163.578947368422</v>
      </c>
      <c r="H34" s="159">
        <v>1770.34</v>
      </c>
      <c r="I34" s="159">
        <f t="shared" si="1"/>
        <v>1770.4473684210527</v>
      </c>
      <c r="J34" s="159"/>
      <c r="K34" s="159">
        <v>156.51</v>
      </c>
      <c r="L34" s="159">
        <v>306.56</v>
      </c>
      <c r="M34" s="159">
        <f t="shared" si="3"/>
        <v>4919.0899999999992</v>
      </c>
      <c r="N34" s="1"/>
      <c r="O34" s="1"/>
    </row>
    <row r="35" spans="1:15" ht="27" customHeight="1">
      <c r="A35" s="161" t="s">
        <v>209</v>
      </c>
      <c r="B35" s="189" t="s">
        <v>189</v>
      </c>
      <c r="C35" s="156" t="s">
        <v>23</v>
      </c>
      <c r="D35" s="157">
        <v>44996</v>
      </c>
      <c r="E35" s="158">
        <f t="shared" si="5"/>
        <v>10764.32</v>
      </c>
      <c r="F35" s="159">
        <v>2643.38</v>
      </c>
      <c r="G35" s="159">
        <f t="shared" si="0"/>
        <v>14163.578947368422</v>
      </c>
      <c r="H35" s="159">
        <v>1770.34</v>
      </c>
      <c r="I35" s="159">
        <f t="shared" si="1"/>
        <v>1770.4473684210527</v>
      </c>
      <c r="J35" s="159"/>
      <c r="K35" s="159">
        <v>156.51</v>
      </c>
      <c r="L35" s="159">
        <v>306.56</v>
      </c>
      <c r="M35" s="159">
        <f t="shared" si="3"/>
        <v>6240.78</v>
      </c>
      <c r="N35" s="1"/>
      <c r="O35" s="1"/>
    </row>
    <row r="36" spans="1:15" ht="27" customHeight="1">
      <c r="A36" s="161" t="s">
        <v>242</v>
      </c>
      <c r="B36" s="189" t="s">
        <v>189</v>
      </c>
      <c r="C36" s="156" t="s">
        <v>23</v>
      </c>
      <c r="D36" s="157">
        <v>45047</v>
      </c>
      <c r="E36" s="158">
        <f t="shared" si="5"/>
        <v>10764.32</v>
      </c>
      <c r="F36" s="159">
        <v>1096.3599999999999</v>
      </c>
      <c r="G36" s="159">
        <f t="shared" si="0"/>
        <v>14163.578947368422</v>
      </c>
      <c r="H36" s="159">
        <v>1770.34</v>
      </c>
      <c r="I36" s="159">
        <f t="shared" si="1"/>
        <v>1770.4473684210527</v>
      </c>
      <c r="J36" s="159"/>
      <c r="K36" s="159">
        <v>156.51</v>
      </c>
      <c r="L36" s="159">
        <v>306.56</v>
      </c>
      <c r="M36" s="159">
        <f t="shared" si="3"/>
        <v>5467.2699999999995</v>
      </c>
      <c r="N36" s="1"/>
      <c r="O36" s="1"/>
    </row>
    <row r="37" spans="1:15" ht="27" customHeight="1">
      <c r="A37" s="161" t="s">
        <v>63</v>
      </c>
      <c r="B37" s="189" t="s">
        <v>189</v>
      </c>
      <c r="C37" s="156" t="s">
        <v>23</v>
      </c>
      <c r="D37" s="157">
        <v>45047</v>
      </c>
      <c r="E37" s="158">
        <f t="shared" si="5"/>
        <v>10764.32</v>
      </c>
      <c r="F37" s="159">
        <v>1096.3599999999999</v>
      </c>
      <c r="G37" s="159">
        <f t="shared" si="0"/>
        <v>14163.578947368422</v>
      </c>
      <c r="H37" s="159">
        <v>1770.34</v>
      </c>
      <c r="I37" s="159">
        <f t="shared" si="1"/>
        <v>1770.4473684210527</v>
      </c>
      <c r="J37" s="159"/>
      <c r="K37" s="159">
        <v>156.51</v>
      </c>
      <c r="L37" s="159">
        <v>306.56</v>
      </c>
      <c r="M37" s="159">
        <f t="shared" si="3"/>
        <v>5467.2699999999995</v>
      </c>
      <c r="N37" s="1"/>
      <c r="O37" s="1"/>
    </row>
    <row r="38" spans="1:15" ht="27" customHeight="1">
      <c r="A38" s="161" t="s">
        <v>210</v>
      </c>
      <c r="B38" s="189" t="s">
        <v>189</v>
      </c>
      <c r="C38" s="156" t="s">
        <v>23</v>
      </c>
      <c r="D38" s="157">
        <v>45093</v>
      </c>
      <c r="E38" s="158">
        <f t="shared" si="5"/>
        <v>10764.32</v>
      </c>
      <c r="F38" s="159">
        <v>1096.3599999999999</v>
      </c>
      <c r="G38" s="159">
        <f t="shared" si="0"/>
        <v>14163.578947368422</v>
      </c>
      <c r="H38" s="159">
        <v>1770.34</v>
      </c>
      <c r="I38" s="159">
        <f t="shared" si="1"/>
        <v>1770.4473684210527</v>
      </c>
      <c r="J38" s="159"/>
      <c r="K38" s="159">
        <v>156.51</v>
      </c>
      <c r="L38" s="159">
        <v>306.56</v>
      </c>
      <c r="M38" s="159">
        <f t="shared" si="3"/>
        <v>5467.2699999999995</v>
      </c>
      <c r="N38" s="1"/>
      <c r="O38" s="1"/>
    </row>
    <row r="39" spans="1:15" ht="27" customHeight="1">
      <c r="A39" s="161" t="s">
        <v>63</v>
      </c>
      <c r="B39" s="189" t="s">
        <v>189</v>
      </c>
      <c r="C39" s="156" t="s">
        <v>23</v>
      </c>
      <c r="D39" s="157">
        <v>45292</v>
      </c>
      <c r="E39" s="158">
        <f t="shared" si="5"/>
        <v>10764.32</v>
      </c>
      <c r="F39" s="159"/>
      <c r="G39" s="159">
        <f t="shared" si="0"/>
        <v>14163.578947368422</v>
      </c>
      <c r="H39" s="159">
        <v>1770.34</v>
      </c>
      <c r="I39" s="159">
        <f t="shared" si="1"/>
        <v>1770.4473684210527</v>
      </c>
      <c r="J39" s="159"/>
      <c r="K39" s="159">
        <v>156.51</v>
      </c>
      <c r="L39" s="159">
        <v>306.56</v>
      </c>
      <c r="M39" s="159">
        <f t="shared" si="3"/>
        <v>4919.0899999999992</v>
      </c>
      <c r="N39" s="1"/>
      <c r="O39" s="1"/>
    </row>
    <row r="40" spans="1:15" ht="27" customHeight="1">
      <c r="A40" s="161" t="s">
        <v>63</v>
      </c>
      <c r="B40" s="189" t="s">
        <v>189</v>
      </c>
      <c r="C40" s="156" t="s">
        <v>23</v>
      </c>
      <c r="D40" s="157">
        <v>44942</v>
      </c>
      <c r="E40" s="158">
        <f t="shared" si="5"/>
        <v>10764.32</v>
      </c>
      <c r="F40" s="159"/>
      <c r="G40" s="159">
        <f t="shared" si="0"/>
        <v>14163.578947368422</v>
      </c>
      <c r="H40" s="159">
        <v>1770.34</v>
      </c>
      <c r="I40" s="159">
        <f t="shared" si="1"/>
        <v>1770.4473684210527</v>
      </c>
      <c r="J40" s="159"/>
      <c r="K40" s="159">
        <v>156.51</v>
      </c>
      <c r="L40" s="159">
        <v>306.56</v>
      </c>
      <c r="M40" s="159">
        <f t="shared" si="3"/>
        <v>4919.0899999999992</v>
      </c>
      <c r="N40" s="1"/>
      <c r="O40" s="1"/>
    </row>
    <row r="41" spans="1:15" ht="27" customHeight="1">
      <c r="A41" s="161" t="s">
        <v>63</v>
      </c>
      <c r="B41" s="189" t="s">
        <v>250</v>
      </c>
      <c r="C41" s="156" t="s">
        <v>23</v>
      </c>
      <c r="D41" s="157">
        <v>46023</v>
      </c>
      <c r="E41" s="158">
        <f t="shared" si="5"/>
        <v>10764.32</v>
      </c>
      <c r="F41" s="159"/>
      <c r="G41" s="159">
        <f t="shared" ref="G41" si="6">E41/30.4*40</f>
        <v>14163.578947368422</v>
      </c>
      <c r="H41" s="159">
        <v>1771.34</v>
      </c>
      <c r="I41" s="159">
        <f t="shared" ref="I41" si="7">E41/30.4*20*0.25</f>
        <v>1770.4473684210527</v>
      </c>
      <c r="J41" s="159"/>
      <c r="K41" s="159">
        <v>156.51</v>
      </c>
      <c r="L41" s="159">
        <v>306.56</v>
      </c>
      <c r="M41" s="159">
        <f t="shared" ref="M41" si="8">+(((E41+F41)/2)-K41-L41)</f>
        <v>4919.0899999999992</v>
      </c>
    </row>
    <row r="42" spans="1:15" ht="15.75" thickBot="1">
      <c r="A42" s="143"/>
      <c r="B42" s="187"/>
      <c r="C42" s="154"/>
      <c r="D42" s="162"/>
      <c r="E42" s="162"/>
      <c r="F42" s="162"/>
      <c r="G42" s="162"/>
      <c r="H42" s="162"/>
      <c r="I42" s="162"/>
      <c r="J42" s="162"/>
      <c r="K42" s="162"/>
      <c r="L42" s="162"/>
      <c r="M42" s="162"/>
    </row>
    <row r="43" spans="1:15" ht="26.25" thickBot="1">
      <c r="A43" s="143"/>
      <c r="B43" s="187"/>
      <c r="C43" s="163"/>
      <c r="D43" s="164" t="s">
        <v>28</v>
      </c>
      <c r="E43" s="165">
        <f>SUM(E9:E42)</f>
        <v>361346.37000000017</v>
      </c>
      <c r="F43" s="165">
        <f>SUM(F9:F42)</f>
        <v>24975.540000000005</v>
      </c>
      <c r="G43" s="165">
        <f>+G44/12</f>
        <v>39621.312500000015</v>
      </c>
      <c r="H43" s="165">
        <f>+H44/12</f>
        <v>5198.3799999999956</v>
      </c>
      <c r="I43" s="165">
        <f>+I44/2</f>
        <v>29715.984375000011</v>
      </c>
      <c r="J43" s="165">
        <f>SUM(J9:J42)</f>
        <v>0</v>
      </c>
      <c r="K43" s="165">
        <f>SUM(K9:K41)*2</f>
        <v>10550.620000000008</v>
      </c>
      <c r="L43" s="165">
        <f>SUM(L9:L41)*2</f>
        <v>22195.5</v>
      </c>
      <c r="M43" s="165">
        <f>SUM(M9:M41)*2</f>
        <v>353575.78999999992</v>
      </c>
    </row>
    <row r="44" spans="1:15" ht="26.25" thickBot="1">
      <c r="B44" s="184"/>
      <c r="C44" s="124"/>
      <c r="D44" s="166" t="s">
        <v>29</v>
      </c>
      <c r="E44" s="167">
        <f>+E43*12</f>
        <v>4336156.4400000023</v>
      </c>
      <c r="F44" s="167">
        <f>+F43*12</f>
        <v>299706.48000000004</v>
      </c>
      <c r="G44" s="167">
        <f>SUM(G9:G41)</f>
        <v>475455.75000000017</v>
      </c>
      <c r="H44" s="167">
        <f>SUM(H9:H41)</f>
        <v>62380.559999999947</v>
      </c>
      <c r="I44" s="167">
        <f>SUM(I9:I41)</f>
        <v>59431.968750000022</v>
      </c>
      <c r="J44" s="167">
        <f>+J43*12</f>
        <v>0</v>
      </c>
      <c r="K44" s="167">
        <f>+K43*12</f>
        <v>126607.44000000009</v>
      </c>
      <c r="L44" s="167">
        <f>+L43*12</f>
        <v>266346</v>
      </c>
      <c r="M44" s="167">
        <f>+M43*12</f>
        <v>4242909.4799999986</v>
      </c>
    </row>
    <row r="45" spans="1:15">
      <c r="A45" s="168" t="s">
        <v>30</v>
      </c>
      <c r="B45" s="184"/>
      <c r="C45" s="124"/>
      <c r="D45" s="124"/>
      <c r="E45" s="124"/>
      <c r="F45" s="124"/>
      <c r="G45" s="124"/>
      <c r="H45" s="124"/>
      <c r="I45" s="124"/>
      <c r="J45" s="124"/>
      <c r="K45" s="169"/>
      <c r="L45" s="169"/>
      <c r="M45" s="124"/>
    </row>
    <row r="46" spans="1:15">
      <c r="A46" s="168" t="s">
        <v>31</v>
      </c>
      <c r="B46" s="184"/>
      <c r="C46" s="124"/>
      <c r="D46" s="124"/>
      <c r="E46" s="169"/>
      <c r="F46" s="124"/>
      <c r="G46" s="124"/>
      <c r="H46" s="124"/>
      <c r="I46" s="124"/>
      <c r="J46" s="124"/>
      <c r="K46" s="124"/>
      <c r="L46" s="124"/>
      <c r="M46" s="124"/>
    </row>
    <row r="47" spans="1:15">
      <c r="A47" s="168" t="s">
        <v>32</v>
      </c>
      <c r="B47" s="184"/>
      <c r="C47" s="124"/>
      <c r="D47" s="124"/>
      <c r="E47" s="169"/>
      <c r="F47" s="124"/>
      <c r="G47" s="124"/>
      <c r="H47" s="124"/>
      <c r="I47" s="124"/>
      <c r="J47" s="124"/>
      <c r="K47" s="124"/>
      <c r="L47" s="124"/>
      <c r="M47" s="124"/>
    </row>
    <row r="48" spans="1:15">
      <c r="A48" s="168" t="s">
        <v>33</v>
      </c>
      <c r="B48" s="184"/>
      <c r="C48" s="124"/>
      <c r="D48" s="124"/>
      <c r="E48" s="169"/>
      <c r="F48" s="169"/>
      <c r="G48" s="169"/>
      <c r="H48" s="124"/>
      <c r="I48" s="124"/>
      <c r="J48" s="124"/>
      <c r="K48" s="124"/>
      <c r="L48" s="124"/>
      <c r="M48" s="124"/>
    </row>
    <row r="49" spans="1:15">
      <c r="A49" s="168" t="s">
        <v>34</v>
      </c>
      <c r="B49" s="18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</row>
    <row r="50" spans="1:15">
      <c r="B50" s="18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</row>
    <row r="51" spans="1:15" ht="15.75">
      <c r="A51" s="323" t="s">
        <v>0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  <c r="L51" s="324"/>
      <c r="M51" s="324"/>
    </row>
    <row r="52" spans="1:15" ht="15.75" thickBot="1">
      <c r="A52" s="143"/>
      <c r="B52" s="187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1:15">
      <c r="A53" s="136" t="s">
        <v>79</v>
      </c>
      <c r="B53" s="185"/>
      <c r="C53" s="138"/>
      <c r="D53" s="137"/>
      <c r="E53" s="137"/>
      <c r="F53" s="137"/>
      <c r="G53" s="137"/>
      <c r="H53" s="137"/>
      <c r="I53" s="325" t="s">
        <v>35</v>
      </c>
      <c r="J53" s="326"/>
      <c r="K53" s="326"/>
      <c r="L53" s="326"/>
      <c r="M53" s="327"/>
    </row>
    <row r="54" spans="1:15" ht="15.75" thickBot="1">
      <c r="A54" s="139" t="s">
        <v>211</v>
      </c>
      <c r="B54" s="186"/>
      <c r="C54" s="140"/>
      <c r="D54" s="140"/>
      <c r="E54" s="141"/>
      <c r="F54" s="141"/>
      <c r="G54" s="141"/>
      <c r="H54" s="141"/>
      <c r="I54" s="141"/>
      <c r="J54" s="141"/>
      <c r="K54" s="141"/>
      <c r="L54" s="141"/>
      <c r="M54" s="142"/>
    </row>
    <row r="55" spans="1:15" ht="15.75" thickBot="1">
      <c r="A55" s="143"/>
      <c r="B55" s="187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1:15">
      <c r="A56" s="330" t="s">
        <v>4</v>
      </c>
      <c r="B56" s="332" t="s">
        <v>5</v>
      </c>
      <c r="C56" s="332" t="s">
        <v>6</v>
      </c>
      <c r="D56" s="332" t="s">
        <v>7</v>
      </c>
      <c r="E56" s="332" t="s">
        <v>8</v>
      </c>
      <c r="F56" s="332" t="s">
        <v>65</v>
      </c>
      <c r="G56" s="332" t="s">
        <v>10</v>
      </c>
      <c r="H56" s="332" t="s">
        <v>11</v>
      </c>
      <c r="I56" s="332" t="s">
        <v>12</v>
      </c>
      <c r="J56" s="332" t="s">
        <v>13</v>
      </c>
      <c r="K56" s="332" t="s">
        <v>14</v>
      </c>
      <c r="L56" s="332" t="s">
        <v>15</v>
      </c>
      <c r="M56" s="321" t="s">
        <v>16</v>
      </c>
    </row>
    <row r="57" spans="1:15">
      <c r="A57" s="355"/>
      <c r="B57" s="356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2"/>
    </row>
    <row r="58" spans="1:15" ht="36">
      <c r="A58" s="155" t="s">
        <v>212</v>
      </c>
      <c r="B58" s="190" t="s">
        <v>249</v>
      </c>
      <c r="C58" s="171" t="s">
        <v>19</v>
      </c>
      <c r="D58" s="172">
        <v>45658</v>
      </c>
      <c r="E58" s="173">
        <v>15382.74</v>
      </c>
      <c r="F58" s="170">
        <v>2538.2800000000002</v>
      </c>
      <c r="G58" s="173">
        <f>E58/30*40</f>
        <v>20510.32</v>
      </c>
      <c r="H58" s="170">
        <v>3872.88</v>
      </c>
      <c r="I58" s="173">
        <f>G58/30.4*20*0.25</f>
        <v>3373.4078947368421</v>
      </c>
      <c r="J58" s="170"/>
      <c r="K58" s="174">
        <v>155.99</v>
      </c>
      <c r="L58" s="174">
        <v>1079.51</v>
      </c>
      <c r="M58" s="174">
        <f>+((E58+F58)/2)-K58-L58</f>
        <v>7725.01</v>
      </c>
    </row>
    <row r="59" spans="1:15" ht="26.25">
      <c r="A59" s="155" t="s">
        <v>63</v>
      </c>
      <c r="B59" s="190" t="s">
        <v>213</v>
      </c>
      <c r="C59" s="171" t="s">
        <v>23</v>
      </c>
      <c r="D59" s="172">
        <v>45778</v>
      </c>
      <c r="E59" s="173">
        <f t="shared" ref="E59" si="9">10553.26+211.06</f>
        <v>10764.32</v>
      </c>
      <c r="F59" s="159"/>
      <c r="G59" s="159">
        <f t="shared" ref="G59" si="10">E59/30.4*40</f>
        <v>14163.578947368422</v>
      </c>
      <c r="H59" s="159">
        <v>1770.34</v>
      </c>
      <c r="I59" s="159">
        <f t="shared" ref="I59" si="11">E59/30.4*20*0.25</f>
        <v>1770.4473684210527</v>
      </c>
      <c r="J59" s="159"/>
      <c r="K59" s="159">
        <v>156.51</v>
      </c>
      <c r="L59" s="159">
        <v>306.56</v>
      </c>
      <c r="M59" s="174">
        <f>+(E59/2)-K59-L59</f>
        <v>4919.0899999999992</v>
      </c>
      <c r="N59" s="1"/>
      <c r="O59" s="1"/>
    </row>
    <row r="60" spans="1:15" ht="26.25">
      <c r="A60" s="155" t="s">
        <v>214</v>
      </c>
      <c r="B60" s="190" t="s">
        <v>213</v>
      </c>
      <c r="C60" s="171" t="s">
        <v>23</v>
      </c>
      <c r="D60" s="172">
        <v>45673</v>
      </c>
      <c r="E60" s="173">
        <f t="shared" ref="E60:E66" si="12">10553.26+211.06</f>
        <v>10764.32</v>
      </c>
      <c r="F60" s="170"/>
      <c r="G60" s="173">
        <f>E60/30*40</f>
        <v>14352.426666666666</v>
      </c>
      <c r="H60" s="170">
        <v>3949.17</v>
      </c>
      <c r="I60" s="173">
        <f>G60/30.4*20*0.25</f>
        <v>2360.5964912280701</v>
      </c>
      <c r="J60" s="170"/>
      <c r="K60" s="174">
        <v>156.51</v>
      </c>
      <c r="L60" s="174">
        <v>306.56</v>
      </c>
      <c r="M60" s="174">
        <f t="shared" ref="M60:M61" si="13">+(E60/2)-K60-L60</f>
        <v>4919.0899999999992</v>
      </c>
      <c r="N60" s="1"/>
      <c r="O60" s="1"/>
    </row>
    <row r="61" spans="1:15" ht="26.25">
      <c r="A61" s="155" t="s">
        <v>215</v>
      </c>
      <c r="B61" s="190" t="s">
        <v>213</v>
      </c>
      <c r="C61" s="171" t="s">
        <v>23</v>
      </c>
      <c r="D61" s="172">
        <v>45788</v>
      </c>
      <c r="E61" s="173">
        <f t="shared" si="12"/>
        <v>10764.32</v>
      </c>
      <c r="F61" s="170"/>
      <c r="G61" s="173">
        <f>E61/30*40</f>
        <v>14352.426666666666</v>
      </c>
      <c r="H61" s="170">
        <v>1770.34</v>
      </c>
      <c r="I61" s="173">
        <f>G61/30.4*20*0.25</f>
        <v>2360.5964912280701</v>
      </c>
      <c r="J61" s="170"/>
      <c r="K61" s="174">
        <v>156.51</v>
      </c>
      <c r="L61" s="174">
        <v>306.56</v>
      </c>
      <c r="M61" s="174">
        <f t="shared" si="13"/>
        <v>4919.0899999999992</v>
      </c>
      <c r="N61" s="1"/>
      <c r="O61" s="1"/>
    </row>
    <row r="62" spans="1:15" ht="26.25">
      <c r="A62" s="155" t="s">
        <v>63</v>
      </c>
      <c r="B62" s="190" t="s">
        <v>213</v>
      </c>
      <c r="C62" s="171" t="s">
        <v>23</v>
      </c>
      <c r="D62" s="172">
        <v>46023</v>
      </c>
      <c r="E62" s="173">
        <f t="shared" si="12"/>
        <v>10764.32</v>
      </c>
      <c r="F62" s="170">
        <v>1096.3599999999999</v>
      </c>
      <c r="G62" s="173">
        <f>E62/30*40</f>
        <v>14352.426666666666</v>
      </c>
      <c r="H62" s="170">
        <v>1853.09</v>
      </c>
      <c r="I62" s="173">
        <f>G62/30.4*20*0.25</f>
        <v>2360.5964912280701</v>
      </c>
      <c r="J62" s="170"/>
      <c r="K62" s="174">
        <v>156.51</v>
      </c>
      <c r="L62" s="174">
        <v>306.56</v>
      </c>
      <c r="M62" s="174">
        <f>+((E62+F62)/2)-K62-L62</f>
        <v>5467.2699999999995</v>
      </c>
      <c r="N62" s="1"/>
      <c r="O62" s="1"/>
    </row>
    <row r="63" spans="1:15" ht="26.25">
      <c r="A63" s="155" t="s">
        <v>236</v>
      </c>
      <c r="B63" s="190" t="s">
        <v>216</v>
      </c>
      <c r="C63" s="171" t="s">
        <v>23</v>
      </c>
      <c r="D63" s="172">
        <v>45901</v>
      </c>
      <c r="E63" s="173">
        <f t="shared" si="12"/>
        <v>10764.32</v>
      </c>
      <c r="F63" s="170"/>
      <c r="G63" s="173">
        <f>E63/30.4*40</f>
        <v>14163.578947368422</v>
      </c>
      <c r="H63" s="170">
        <v>1770.34</v>
      </c>
      <c r="I63" s="173">
        <f>E63/30.4*20*0.25</f>
        <v>1770.4473684210527</v>
      </c>
      <c r="J63" s="170"/>
      <c r="K63" s="174">
        <v>156.51</v>
      </c>
      <c r="L63" s="174">
        <v>306.56</v>
      </c>
      <c r="M63" s="174">
        <f t="shared" ref="M63:M66" si="14">+((E63+F63)/2)-K63-L63</f>
        <v>4919.0899999999992</v>
      </c>
      <c r="N63" s="1"/>
      <c r="O63" s="1"/>
    </row>
    <row r="64" spans="1:15" ht="26.25">
      <c r="A64" s="155" t="s">
        <v>63</v>
      </c>
      <c r="B64" s="190" t="s">
        <v>216</v>
      </c>
      <c r="C64" s="171" t="s">
        <v>23</v>
      </c>
      <c r="D64" s="172">
        <v>45870</v>
      </c>
      <c r="E64" s="173">
        <f t="shared" si="12"/>
        <v>10764.32</v>
      </c>
      <c r="F64" s="170"/>
      <c r="G64" s="173">
        <f>E64/30.4*40</f>
        <v>14163.578947368422</v>
      </c>
      <c r="H64" s="170">
        <v>1770.34</v>
      </c>
      <c r="I64" s="173">
        <f>E64/30.4*20*0.25</f>
        <v>1770.4473684210527</v>
      </c>
      <c r="J64" s="170"/>
      <c r="K64" s="174">
        <v>156.51</v>
      </c>
      <c r="L64" s="174">
        <v>306.56</v>
      </c>
      <c r="M64" s="174">
        <f t="shared" si="14"/>
        <v>4919.0899999999992</v>
      </c>
      <c r="N64" s="1"/>
      <c r="O64" s="1"/>
    </row>
    <row r="65" spans="1:15" ht="26.25">
      <c r="A65" s="155" t="s">
        <v>243</v>
      </c>
      <c r="B65" s="190" t="s">
        <v>216</v>
      </c>
      <c r="C65" s="171" t="s">
        <v>23</v>
      </c>
      <c r="D65" s="172">
        <v>45946</v>
      </c>
      <c r="E65" s="173">
        <f t="shared" si="12"/>
        <v>10764.32</v>
      </c>
      <c r="F65" s="170"/>
      <c r="G65" s="173">
        <f>E65/30*40</f>
        <v>14352.426666666666</v>
      </c>
      <c r="H65" s="170">
        <v>1770.34</v>
      </c>
      <c r="I65" s="173">
        <f>G65/30.4*20*0.25</f>
        <v>2360.5964912280701</v>
      </c>
      <c r="J65" s="170"/>
      <c r="K65" s="174">
        <v>156.51</v>
      </c>
      <c r="L65" s="174">
        <v>306.56</v>
      </c>
      <c r="M65" s="174">
        <f t="shared" si="14"/>
        <v>4919.0899999999992</v>
      </c>
      <c r="N65" s="1"/>
      <c r="O65" s="1"/>
    </row>
    <row r="66" spans="1:15" ht="26.25">
      <c r="A66" s="155" t="s">
        <v>63</v>
      </c>
      <c r="B66" s="190" t="s">
        <v>216</v>
      </c>
      <c r="C66" s="171" t="s">
        <v>23</v>
      </c>
      <c r="D66" s="172">
        <v>46023</v>
      </c>
      <c r="E66" s="173">
        <f t="shared" si="12"/>
        <v>10764.32</v>
      </c>
      <c r="F66" s="170">
        <v>1096.3599999999999</v>
      </c>
      <c r="G66" s="173">
        <f>E66/30*40</f>
        <v>14352.426666666666</v>
      </c>
      <c r="H66" s="170">
        <v>1770.34</v>
      </c>
      <c r="I66" s="173">
        <f>G66/30.4*20*0.25</f>
        <v>2360.5964912280701</v>
      </c>
      <c r="J66" s="170"/>
      <c r="K66" s="174">
        <v>156.51</v>
      </c>
      <c r="L66" s="174">
        <v>306.56</v>
      </c>
      <c r="M66" s="174">
        <f t="shared" si="14"/>
        <v>5467.2699999999995</v>
      </c>
      <c r="N66" s="1"/>
      <c r="O66" s="1"/>
    </row>
    <row r="67" spans="1:15">
      <c r="A67" s="175"/>
      <c r="B67" s="191"/>
      <c r="C67" s="176"/>
      <c r="D67" s="177"/>
      <c r="E67" s="178"/>
      <c r="F67" s="122"/>
      <c r="G67" s="178"/>
      <c r="H67" s="135"/>
      <c r="I67" s="178"/>
      <c r="J67" s="135"/>
      <c r="K67" s="179"/>
      <c r="L67" s="122"/>
      <c r="M67" s="122"/>
      <c r="N67" s="1"/>
      <c r="O67" s="1"/>
    </row>
    <row r="68" spans="1:15">
      <c r="A68" s="175"/>
      <c r="B68" s="191"/>
      <c r="C68" s="176"/>
      <c r="D68" s="177"/>
      <c r="E68" s="178"/>
      <c r="F68" s="122"/>
      <c r="G68" s="178"/>
      <c r="H68" s="135"/>
      <c r="I68" s="178"/>
      <c r="J68" s="135"/>
      <c r="K68" s="179"/>
      <c r="L68" s="122"/>
      <c r="M68" s="122"/>
    </row>
    <row r="69" spans="1:15" ht="25.5">
      <c r="A69" s="143"/>
      <c r="B69" s="187"/>
      <c r="C69" s="163"/>
      <c r="D69" s="180" t="s">
        <v>28</v>
      </c>
      <c r="E69" s="181">
        <f>SUM(E58:E68)</f>
        <v>101497.30000000002</v>
      </c>
      <c r="F69" s="181">
        <f>SUM(F58:F66)</f>
        <v>4731</v>
      </c>
      <c r="G69" s="181">
        <f>G70/12</f>
        <v>11230.265847953217</v>
      </c>
      <c r="H69" s="181">
        <f>+H70/12</f>
        <v>1691.4316666666666</v>
      </c>
      <c r="I69" s="181">
        <f>I70/2</f>
        <v>10243.866228070176</v>
      </c>
      <c r="J69" s="181"/>
      <c r="K69" s="181">
        <f t="shared" ref="K69:L69" si="15">+SUM(K58:K66)*2</f>
        <v>2816.14</v>
      </c>
      <c r="L69" s="181">
        <f t="shared" si="15"/>
        <v>7063.98</v>
      </c>
      <c r="M69" s="181">
        <f>+SUM(M58:M66)*2</f>
        <v>96348.179999999978</v>
      </c>
    </row>
    <row r="70" spans="1:15" ht="26.25" thickBot="1">
      <c r="A70" s="143"/>
      <c r="B70" s="187"/>
      <c r="C70" s="143"/>
      <c r="D70" s="166" t="s">
        <v>29</v>
      </c>
      <c r="E70" s="182">
        <f>+E69*12</f>
        <v>1217967.6000000001</v>
      </c>
      <c r="F70" s="182">
        <f>+F69*12</f>
        <v>56772</v>
      </c>
      <c r="G70" s="182">
        <f>SUM(G58:G68)</f>
        <v>134763.19017543859</v>
      </c>
      <c r="H70" s="182">
        <f>SUM(H58:H68)</f>
        <v>20297.18</v>
      </c>
      <c r="I70" s="182">
        <f>SUM(I58:I68)</f>
        <v>20487.732456140351</v>
      </c>
      <c r="J70" s="182"/>
      <c r="K70" s="182">
        <f>+K69*12</f>
        <v>33793.68</v>
      </c>
      <c r="L70" s="182">
        <f>+L69*12</f>
        <v>84767.76</v>
      </c>
      <c r="M70" s="182">
        <f>+M69*12</f>
        <v>1156178.1599999997</v>
      </c>
    </row>
    <row r="71" spans="1:15">
      <c r="A71" s="168" t="s">
        <v>30</v>
      </c>
      <c r="B71" s="187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</row>
    <row r="72" spans="1:15">
      <c r="A72" s="168" t="s">
        <v>31</v>
      </c>
      <c r="B72" s="187"/>
      <c r="C72" s="143"/>
      <c r="D72" s="143"/>
      <c r="E72" s="169"/>
      <c r="F72" s="143"/>
      <c r="G72" s="143"/>
      <c r="H72" s="143"/>
      <c r="I72" s="143"/>
      <c r="J72" s="143"/>
      <c r="K72" s="143"/>
      <c r="L72" s="143"/>
      <c r="M72" s="143"/>
    </row>
    <row r="73" spans="1:15">
      <c r="A73" s="168" t="s">
        <v>32</v>
      </c>
      <c r="B73" s="187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</row>
    <row r="74" spans="1:15">
      <c r="A74" s="168" t="s">
        <v>33</v>
      </c>
      <c r="B74" s="187"/>
      <c r="C74" s="143"/>
      <c r="D74" s="143"/>
      <c r="E74" s="169"/>
      <c r="F74" s="143"/>
      <c r="G74" s="143"/>
      <c r="H74" s="143"/>
      <c r="I74" s="143"/>
      <c r="J74" s="143"/>
      <c r="K74" s="143"/>
      <c r="L74" s="169"/>
      <c r="M74" s="143"/>
    </row>
    <row r="75" spans="1:15">
      <c r="A75" s="168" t="s">
        <v>34</v>
      </c>
      <c r="B75" s="187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</row>
    <row r="76" spans="1:15">
      <c r="B76" s="184"/>
      <c r="C76" s="124"/>
      <c r="D76" s="124"/>
      <c r="E76" s="169"/>
      <c r="F76" s="169"/>
      <c r="G76" s="124"/>
      <c r="H76" s="124"/>
      <c r="I76" s="124"/>
      <c r="J76" s="124"/>
      <c r="K76" s="124"/>
      <c r="L76" s="124"/>
      <c r="M76" s="124"/>
    </row>
    <row r="77" spans="1:15">
      <c r="B77" s="18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</row>
    <row r="78" spans="1:15">
      <c r="B78" s="18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</row>
    <row r="79" spans="1:15">
      <c r="B79" s="18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</row>
    <row r="80" spans="1:15" ht="15.75">
      <c r="A80" s="323" t="s">
        <v>0</v>
      </c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324"/>
      <c r="M80" s="324"/>
    </row>
    <row r="81" spans="1:15" ht="15.75" thickBot="1">
      <c r="A81" s="143"/>
      <c r="B81" s="187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</row>
    <row r="82" spans="1:15">
      <c r="A82" s="136" t="s">
        <v>1</v>
      </c>
      <c r="B82" s="185"/>
      <c r="C82" s="138"/>
      <c r="D82" s="137"/>
      <c r="E82" s="137"/>
      <c r="F82" s="137"/>
      <c r="G82" s="137"/>
      <c r="H82" s="137"/>
      <c r="I82" s="325" t="s">
        <v>35</v>
      </c>
      <c r="J82" s="326"/>
      <c r="K82" s="326"/>
      <c r="L82" s="326"/>
      <c r="M82" s="327"/>
    </row>
    <row r="83" spans="1:15" ht="15.75" thickBot="1">
      <c r="A83" s="139" t="s">
        <v>217</v>
      </c>
      <c r="B83" s="186"/>
      <c r="C83" s="140"/>
      <c r="D83" s="140"/>
      <c r="E83" s="140"/>
      <c r="F83" s="141"/>
      <c r="G83" s="141"/>
      <c r="H83" s="141"/>
      <c r="I83" s="141"/>
      <c r="J83" s="141"/>
      <c r="K83" s="141"/>
      <c r="L83" s="141"/>
      <c r="M83" s="142"/>
    </row>
    <row r="84" spans="1:15" ht="15.75" thickBot="1">
      <c r="A84" s="143"/>
      <c r="B84" s="187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</row>
    <row r="85" spans="1:15">
      <c r="A85" s="330" t="s">
        <v>4</v>
      </c>
      <c r="B85" s="332" t="s">
        <v>5</v>
      </c>
      <c r="C85" s="332" t="s">
        <v>6</v>
      </c>
      <c r="D85" s="332" t="s">
        <v>7</v>
      </c>
      <c r="E85" s="332" t="s">
        <v>8</v>
      </c>
      <c r="F85" s="332" t="s">
        <v>9</v>
      </c>
      <c r="G85" s="332" t="s">
        <v>10</v>
      </c>
      <c r="H85" s="332" t="s">
        <v>11</v>
      </c>
      <c r="I85" s="332" t="s">
        <v>12</v>
      </c>
      <c r="J85" s="332" t="s">
        <v>13</v>
      </c>
      <c r="K85" s="332" t="s">
        <v>14</v>
      </c>
      <c r="L85" s="332" t="s">
        <v>15</v>
      </c>
      <c r="M85" s="321" t="s">
        <v>16</v>
      </c>
    </row>
    <row r="86" spans="1:15" ht="15.75" thickBot="1">
      <c r="A86" s="331"/>
      <c r="B86" s="353"/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22"/>
    </row>
    <row r="87" spans="1:15">
      <c r="A87" s="143"/>
      <c r="B87" s="187"/>
      <c r="C87" s="154"/>
      <c r="D87" s="143"/>
      <c r="E87" s="143"/>
      <c r="F87" s="143"/>
      <c r="G87" s="143"/>
      <c r="H87" s="143"/>
      <c r="I87" s="143"/>
      <c r="J87" s="143"/>
      <c r="K87" s="143"/>
      <c r="L87" s="143"/>
      <c r="M87" s="143"/>
    </row>
    <row r="88" spans="1:15" ht="36">
      <c r="A88" s="155" t="s">
        <v>218</v>
      </c>
      <c r="B88" s="192" t="s">
        <v>219</v>
      </c>
      <c r="C88" s="156" t="s">
        <v>19</v>
      </c>
      <c r="D88" s="160">
        <v>45536</v>
      </c>
      <c r="E88" s="158">
        <f>13937.8+278.75</f>
        <v>14216.55</v>
      </c>
      <c r="F88" s="159"/>
      <c r="G88" s="159">
        <f t="shared" ref="G88:G97" si="16">E88/30.4*40</f>
        <v>18705.986842105263</v>
      </c>
      <c r="H88" s="159">
        <v>2702.57</v>
      </c>
      <c r="I88" s="159">
        <f t="shared" ref="I88:I97" si="17">G88/30.4*20*0.25</f>
        <v>3076.6425727146816</v>
      </c>
      <c r="J88" s="159"/>
      <c r="K88" s="159">
        <v>109.04</v>
      </c>
      <c r="L88" s="159">
        <v>572.04</v>
      </c>
      <c r="M88" s="174">
        <f>+(E88/2)-K88-L88</f>
        <v>6427.1949999999997</v>
      </c>
    </row>
    <row r="89" spans="1:15" ht="24">
      <c r="A89" s="155" t="s">
        <v>220</v>
      </c>
      <c r="B89" s="192" t="s">
        <v>221</v>
      </c>
      <c r="C89" s="156" t="s">
        <v>23</v>
      </c>
      <c r="D89" s="160">
        <v>46006</v>
      </c>
      <c r="E89" s="158">
        <f>9498.42+189.96</f>
        <v>9688.3799999999992</v>
      </c>
      <c r="F89" s="159"/>
      <c r="G89" s="159">
        <f t="shared" si="16"/>
        <v>12747.86842105263</v>
      </c>
      <c r="H89" s="159">
        <v>958</v>
      </c>
      <c r="I89" s="159">
        <f t="shared" si="17"/>
        <v>2096.6888850415512</v>
      </c>
      <c r="J89" s="159"/>
      <c r="K89" s="159">
        <v>109.4</v>
      </c>
      <c r="L89" s="159">
        <v>358.01</v>
      </c>
      <c r="M89" s="174">
        <f t="shared" ref="M89:M97" si="18">+(E89/2)-K89-L89</f>
        <v>4376.78</v>
      </c>
      <c r="N89" s="1"/>
      <c r="O89" s="1"/>
    </row>
    <row r="90" spans="1:15">
      <c r="A90" s="183" t="s">
        <v>63</v>
      </c>
      <c r="B90" s="189" t="s">
        <v>222</v>
      </c>
      <c r="C90" s="156" t="s">
        <v>23</v>
      </c>
      <c r="D90" s="160">
        <v>46023</v>
      </c>
      <c r="E90" s="158">
        <v>9346.5400000000009</v>
      </c>
      <c r="F90" s="159"/>
      <c r="G90" s="159">
        <f t="shared" ref="G90" si="19">E90/30.4*40</f>
        <v>12298.078947368422</v>
      </c>
      <c r="H90" s="159">
        <v>482.86</v>
      </c>
      <c r="I90" s="159">
        <f t="shared" ref="I90" si="20">G90/30.4*20*0.25</f>
        <v>2022.7103531855957</v>
      </c>
      <c r="J90" s="159">
        <v>0</v>
      </c>
      <c r="K90" s="159">
        <v>109.04</v>
      </c>
      <c r="L90" s="159">
        <v>337.16</v>
      </c>
      <c r="M90" s="174">
        <f t="shared" si="18"/>
        <v>4227.0700000000006</v>
      </c>
      <c r="N90" s="1"/>
      <c r="O90" s="1"/>
    </row>
    <row r="91" spans="1:15">
      <c r="A91" s="183" t="s">
        <v>63</v>
      </c>
      <c r="B91" s="189" t="s">
        <v>153</v>
      </c>
      <c r="C91" s="156" t="s">
        <v>23</v>
      </c>
      <c r="D91" s="160">
        <v>46023</v>
      </c>
      <c r="E91" s="158">
        <v>11000</v>
      </c>
      <c r="F91" s="159"/>
      <c r="G91" s="159">
        <f t="shared" si="16"/>
        <v>14473.684210526317</v>
      </c>
      <c r="H91" s="159">
        <v>1458.46</v>
      </c>
      <c r="I91" s="159">
        <f t="shared" si="17"/>
        <v>2380.5401662049862</v>
      </c>
      <c r="J91" s="159"/>
      <c r="K91" s="159">
        <v>156.51</v>
      </c>
      <c r="L91" s="159">
        <v>442.48</v>
      </c>
      <c r="M91" s="174">
        <f t="shared" si="18"/>
        <v>4901.01</v>
      </c>
      <c r="N91" s="1"/>
      <c r="O91" s="1"/>
    </row>
    <row r="92" spans="1:15">
      <c r="A92" s="183" t="s">
        <v>63</v>
      </c>
      <c r="B92" s="189" t="s">
        <v>222</v>
      </c>
      <c r="C92" s="156" t="s">
        <v>23</v>
      </c>
      <c r="D92" s="160">
        <v>46023</v>
      </c>
      <c r="E92" s="158">
        <v>9319.02</v>
      </c>
      <c r="F92" s="159"/>
      <c r="G92" s="159">
        <f t="shared" si="16"/>
        <v>12261.868421052632</v>
      </c>
      <c r="H92" s="159">
        <v>614.16</v>
      </c>
      <c r="I92" s="159">
        <f t="shared" si="17"/>
        <v>2016.7546745152356</v>
      </c>
      <c r="J92" s="159">
        <v>0</v>
      </c>
      <c r="K92" s="159">
        <v>109.04</v>
      </c>
      <c r="L92" s="159">
        <v>350.47</v>
      </c>
      <c r="M92" s="174">
        <f t="shared" si="18"/>
        <v>4200</v>
      </c>
      <c r="N92" s="1"/>
      <c r="O92" s="1"/>
    </row>
    <row r="93" spans="1:15">
      <c r="A93" s="183" t="s">
        <v>223</v>
      </c>
      <c r="B93" s="189" t="s">
        <v>224</v>
      </c>
      <c r="C93" s="156" t="s">
        <v>23</v>
      </c>
      <c r="D93" s="160">
        <v>45717</v>
      </c>
      <c r="E93" s="158">
        <v>9346.5400000000009</v>
      </c>
      <c r="F93" s="159"/>
      <c r="G93" s="159">
        <f t="shared" si="16"/>
        <v>12298.078947368422</v>
      </c>
      <c r="H93" s="159">
        <v>482.86</v>
      </c>
      <c r="I93" s="159">
        <f t="shared" si="17"/>
        <v>2022.7103531855957</v>
      </c>
      <c r="J93" s="159">
        <v>0</v>
      </c>
      <c r="K93" s="159">
        <v>109.04</v>
      </c>
      <c r="L93" s="159">
        <v>337.16</v>
      </c>
      <c r="M93" s="174">
        <f t="shared" si="18"/>
        <v>4227.0700000000006</v>
      </c>
      <c r="N93" s="1"/>
      <c r="O93" s="1"/>
    </row>
    <row r="94" spans="1:15">
      <c r="A94" s="183" t="s">
        <v>225</v>
      </c>
      <c r="B94" s="189" t="s">
        <v>224</v>
      </c>
      <c r="C94" s="156" t="s">
        <v>23</v>
      </c>
      <c r="D94" s="160">
        <v>45536</v>
      </c>
      <c r="E94" s="158">
        <v>9346.5400000000009</v>
      </c>
      <c r="F94" s="159"/>
      <c r="G94" s="159">
        <f t="shared" si="16"/>
        <v>12298.078947368422</v>
      </c>
      <c r="H94" s="159">
        <v>482.86</v>
      </c>
      <c r="I94" s="159">
        <f t="shared" si="17"/>
        <v>2022.7103531855957</v>
      </c>
      <c r="J94" s="159">
        <v>0</v>
      </c>
      <c r="K94" s="159">
        <v>109.04</v>
      </c>
      <c r="L94" s="159">
        <v>337.16</v>
      </c>
      <c r="M94" s="174">
        <f t="shared" si="18"/>
        <v>4227.0700000000006</v>
      </c>
      <c r="N94" s="1"/>
      <c r="O94" s="1"/>
    </row>
    <row r="95" spans="1:15">
      <c r="A95" s="183" t="s">
        <v>226</v>
      </c>
      <c r="B95" s="189" t="s">
        <v>224</v>
      </c>
      <c r="C95" s="156" t="s">
        <v>23</v>
      </c>
      <c r="D95" s="160">
        <v>45717</v>
      </c>
      <c r="E95" s="158">
        <v>9346.5400000000009</v>
      </c>
      <c r="F95" s="159"/>
      <c r="G95" s="159">
        <f t="shared" si="16"/>
        <v>12298.078947368422</v>
      </c>
      <c r="H95" s="159">
        <v>482.86</v>
      </c>
      <c r="I95" s="159">
        <f t="shared" si="17"/>
        <v>2022.7103531855957</v>
      </c>
      <c r="J95" s="159">
        <v>0</v>
      </c>
      <c r="K95" s="159">
        <v>109.04</v>
      </c>
      <c r="L95" s="159">
        <v>337.16</v>
      </c>
      <c r="M95" s="174">
        <f t="shared" si="18"/>
        <v>4227.0700000000006</v>
      </c>
      <c r="N95" s="1"/>
      <c r="O95" s="1"/>
    </row>
    <row r="96" spans="1:15">
      <c r="A96" s="183" t="s">
        <v>227</v>
      </c>
      <c r="B96" s="189" t="s">
        <v>224</v>
      </c>
      <c r="C96" s="156" t="s">
        <v>23</v>
      </c>
      <c r="D96" s="160">
        <v>45717</v>
      </c>
      <c r="E96" s="158">
        <v>9346.5400000000009</v>
      </c>
      <c r="F96" s="159"/>
      <c r="G96" s="159">
        <f t="shared" si="16"/>
        <v>12298.078947368422</v>
      </c>
      <c r="H96" s="159">
        <v>482.86</v>
      </c>
      <c r="I96" s="159">
        <f t="shared" si="17"/>
        <v>2022.7103531855957</v>
      </c>
      <c r="J96" s="159">
        <v>0</v>
      </c>
      <c r="K96" s="159">
        <v>109.04</v>
      </c>
      <c r="L96" s="159">
        <v>337.16</v>
      </c>
      <c r="M96" s="174">
        <f t="shared" si="18"/>
        <v>4227.0700000000006</v>
      </c>
      <c r="N96" s="1"/>
      <c r="O96" s="1"/>
    </row>
    <row r="97" spans="1:15">
      <c r="A97" s="183" t="s">
        <v>244</v>
      </c>
      <c r="B97" s="189" t="s">
        <v>224</v>
      </c>
      <c r="C97" s="156" t="s">
        <v>23</v>
      </c>
      <c r="D97" s="160">
        <v>45901</v>
      </c>
      <c r="E97" s="158">
        <v>9346.5400000000009</v>
      </c>
      <c r="F97" s="159"/>
      <c r="G97" s="159">
        <f t="shared" si="16"/>
        <v>12298.078947368422</v>
      </c>
      <c r="H97" s="159">
        <v>482.86</v>
      </c>
      <c r="I97" s="159">
        <f t="shared" si="17"/>
        <v>2022.7103531855957</v>
      </c>
      <c r="J97" s="159">
        <v>0</v>
      </c>
      <c r="K97" s="159">
        <v>109.04</v>
      </c>
      <c r="L97" s="159">
        <v>337.16</v>
      </c>
      <c r="M97" s="174">
        <f t="shared" si="18"/>
        <v>4227.0700000000006</v>
      </c>
      <c r="N97" s="1"/>
      <c r="O97" s="1"/>
    </row>
    <row r="98" spans="1:15" s="1" customFormat="1">
      <c r="A98" s="117"/>
      <c r="B98" s="194"/>
      <c r="C98" s="118"/>
      <c r="D98" s="134"/>
      <c r="E98" s="120"/>
      <c r="F98" s="122"/>
      <c r="G98" s="122"/>
      <c r="H98" s="122"/>
      <c r="I98" s="122"/>
      <c r="J98" s="122"/>
      <c r="K98" s="122"/>
      <c r="L98" s="122"/>
      <c r="M98" s="179"/>
    </row>
    <row r="99" spans="1:15" ht="25.5">
      <c r="A99" s="143"/>
      <c r="B99" s="187"/>
      <c r="C99" s="163"/>
      <c r="D99" s="180" t="s">
        <v>28</v>
      </c>
      <c r="E99" s="181">
        <f>SUM(E88:E97)</f>
        <v>100303.19000000003</v>
      </c>
      <c r="F99" s="181">
        <v>0</v>
      </c>
      <c r="G99" s="181">
        <f>+G100/12</f>
        <v>10998.156798245616</v>
      </c>
      <c r="H99" s="181">
        <f>+H100/12</f>
        <v>638.71916666666664</v>
      </c>
      <c r="I99" s="181">
        <f>+I100/2</f>
        <v>10853.444208795016</v>
      </c>
      <c r="J99" s="181"/>
      <c r="K99" s="181">
        <f t="shared" ref="K99:L99" si="21">SUM(K88:K97)*2</f>
        <v>2276.4599999999996</v>
      </c>
      <c r="L99" s="181">
        <f t="shared" si="21"/>
        <v>7491.9199999999983</v>
      </c>
      <c r="M99" s="181">
        <f>SUM(M88:M97)*2</f>
        <v>90534.81</v>
      </c>
    </row>
    <row r="100" spans="1:15" ht="26.25" thickBot="1">
      <c r="A100" s="143"/>
      <c r="B100" s="187"/>
      <c r="C100" s="143"/>
      <c r="D100" s="166" t="s">
        <v>29</v>
      </c>
      <c r="E100" s="182">
        <f>+E99*12</f>
        <v>1203638.2800000003</v>
      </c>
      <c r="F100" s="182">
        <v>0</v>
      </c>
      <c r="G100" s="182">
        <f>SUM(G88:G97)</f>
        <v>131977.88157894739</v>
      </c>
      <c r="H100" s="182">
        <f>SUM(H88:H95)</f>
        <v>7664.6299999999992</v>
      </c>
      <c r="I100" s="182">
        <f>SUM(I88:I97)</f>
        <v>21706.888417590031</v>
      </c>
      <c r="J100" s="182"/>
      <c r="K100" s="182">
        <f>+K99*12</f>
        <v>27317.519999999997</v>
      </c>
      <c r="L100" s="182">
        <f>+L99*12</f>
        <v>89903.039999999979</v>
      </c>
      <c r="M100" s="182">
        <f>+M99*12</f>
        <v>1086417.72</v>
      </c>
    </row>
    <row r="101" spans="1:15">
      <c r="A101" s="168" t="s">
        <v>30</v>
      </c>
      <c r="B101" s="187"/>
      <c r="C101" s="143"/>
      <c r="D101" s="143"/>
      <c r="E101" s="169"/>
      <c r="F101" s="143"/>
      <c r="G101" s="143"/>
      <c r="H101" s="143"/>
      <c r="I101" s="143"/>
      <c r="J101" s="143"/>
      <c r="K101" s="143"/>
      <c r="L101" s="143"/>
      <c r="M101" s="143"/>
    </row>
    <row r="102" spans="1:15">
      <c r="A102" s="168" t="s">
        <v>31</v>
      </c>
      <c r="B102" s="187"/>
      <c r="C102" s="143"/>
      <c r="D102" s="143"/>
      <c r="E102" s="169"/>
      <c r="F102" s="143"/>
      <c r="G102" s="143"/>
      <c r="H102" s="143"/>
      <c r="I102" s="143"/>
      <c r="J102" s="143"/>
      <c r="K102" s="143"/>
      <c r="L102" s="169"/>
      <c r="M102" s="143"/>
    </row>
    <row r="103" spans="1:15">
      <c r="A103" s="168" t="s">
        <v>32</v>
      </c>
      <c r="B103" s="187"/>
      <c r="C103" s="143"/>
      <c r="D103" s="143"/>
      <c r="E103" s="169"/>
      <c r="F103" s="143"/>
      <c r="G103" s="143"/>
      <c r="H103" s="143"/>
      <c r="I103" s="143"/>
      <c r="J103" s="143"/>
      <c r="K103" s="143"/>
      <c r="L103" s="169"/>
      <c r="M103" s="143"/>
    </row>
    <row r="104" spans="1:15">
      <c r="A104" s="168" t="s">
        <v>33</v>
      </c>
      <c r="B104" s="187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</row>
    <row r="105" spans="1:15">
      <c r="A105" s="168" t="s">
        <v>34</v>
      </c>
      <c r="B105" s="187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</row>
  </sheetData>
  <mergeCells count="32">
    <mergeCell ref="L56:L57"/>
    <mergeCell ref="A1:M1"/>
    <mergeCell ref="I3:M3"/>
    <mergeCell ref="A51:M51"/>
    <mergeCell ref="I53:M53"/>
    <mergeCell ref="A56:A57"/>
    <mergeCell ref="B56:B57"/>
    <mergeCell ref="C56:C57"/>
    <mergeCell ref="D56:D57"/>
    <mergeCell ref="E56:E57"/>
    <mergeCell ref="F56:F57"/>
    <mergeCell ref="M85:M86"/>
    <mergeCell ref="M56:M57"/>
    <mergeCell ref="A80:M80"/>
    <mergeCell ref="I82:M82"/>
    <mergeCell ref="A85:A86"/>
    <mergeCell ref="B85:B86"/>
    <mergeCell ref="C85:C86"/>
    <mergeCell ref="D85:D86"/>
    <mergeCell ref="E85:E86"/>
    <mergeCell ref="F85:F86"/>
    <mergeCell ref="G85:G86"/>
    <mergeCell ref="G56:G57"/>
    <mergeCell ref="H56:H57"/>
    <mergeCell ref="I56:I57"/>
    <mergeCell ref="J56:J57"/>
    <mergeCell ref="K56:K57"/>
    <mergeCell ref="H85:H86"/>
    <mergeCell ref="I85:I86"/>
    <mergeCell ref="J85:J86"/>
    <mergeCell ref="K85:K86"/>
    <mergeCell ref="L85:L86"/>
  </mergeCells>
  <pageMargins left="0.23622047244094491" right="0.23622047244094491" top="0.35433070866141736" bottom="0.35433070866141736" header="0.31496062992125984" footer="0.31496062992125984"/>
  <pageSetup paperSize="305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60" zoomScaleNormal="60" workbookViewId="0">
      <selection activeCell="B52" sqref="B52:B53"/>
    </sheetView>
  </sheetViews>
  <sheetFormatPr baseColWidth="10" defaultRowHeight="15"/>
  <cols>
    <col min="1" max="1" width="18.28515625" customWidth="1"/>
    <col min="2" max="2" width="24.42578125" customWidth="1"/>
    <col min="5" max="5" width="17.42578125" customWidth="1"/>
    <col min="7" max="7" width="14.42578125" customWidth="1"/>
    <col min="8" max="8" width="13.28515625" customWidth="1"/>
    <col min="9" max="9" width="14.5703125" customWidth="1"/>
    <col min="11" max="11" width="13.42578125" bestFit="1" customWidth="1"/>
    <col min="12" max="12" width="14.5703125" bestFit="1" customWidth="1"/>
    <col min="13" max="13" width="18.28515625" bestFit="1" customWidth="1"/>
  </cols>
  <sheetData>
    <row r="1" spans="1:14" ht="15.75">
      <c r="A1" s="336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4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3" t="s">
        <v>1</v>
      </c>
      <c r="B3" s="6"/>
      <c r="C3" s="5"/>
      <c r="D3" s="6"/>
      <c r="E3" s="6"/>
      <c r="F3" s="6"/>
      <c r="G3" s="6"/>
      <c r="H3" s="6"/>
      <c r="I3" s="338" t="s">
        <v>35</v>
      </c>
      <c r="J3" s="339"/>
      <c r="K3" s="339"/>
      <c r="L3" s="339"/>
      <c r="M3" s="340"/>
    </row>
    <row r="4" spans="1:14" ht="15.75" thickBot="1">
      <c r="A4" s="34" t="s">
        <v>277</v>
      </c>
      <c r="B4" s="35"/>
      <c r="C4" s="35"/>
      <c r="D4" s="35"/>
      <c r="E4" s="7"/>
      <c r="F4" s="7"/>
      <c r="G4" s="7"/>
      <c r="H4" s="7"/>
      <c r="I4" s="7"/>
      <c r="J4" s="7"/>
      <c r="K4" s="7"/>
      <c r="L4" s="7"/>
      <c r="M4" s="8"/>
    </row>
    <row r="5" spans="1:14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>
      <c r="A6" s="343" t="s">
        <v>4</v>
      </c>
      <c r="B6" s="345" t="s">
        <v>5</v>
      </c>
      <c r="C6" s="345" t="s">
        <v>6</v>
      </c>
      <c r="D6" s="345" t="s">
        <v>7</v>
      </c>
      <c r="E6" s="345" t="s">
        <v>8</v>
      </c>
      <c r="F6" s="345" t="s">
        <v>9</v>
      </c>
      <c r="G6" s="345" t="s">
        <v>10</v>
      </c>
      <c r="H6" s="345" t="s">
        <v>11</v>
      </c>
      <c r="I6" s="345" t="s">
        <v>12</v>
      </c>
      <c r="J6" s="345" t="s">
        <v>13</v>
      </c>
      <c r="K6" s="345" t="s">
        <v>14</v>
      </c>
      <c r="L6" s="345" t="s">
        <v>15</v>
      </c>
      <c r="M6" s="334" t="s">
        <v>16</v>
      </c>
    </row>
    <row r="7" spans="1:14" ht="15.75" thickBot="1">
      <c r="A7" s="344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35"/>
    </row>
    <row r="8" spans="1:14" ht="15.75" thickBot="1">
      <c r="A8" s="2"/>
      <c r="B8" s="2"/>
      <c r="C8" s="9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24.75" thickBot="1">
      <c r="A9" s="111" t="s">
        <v>228</v>
      </c>
      <c r="B9" s="17" t="s">
        <v>229</v>
      </c>
      <c r="C9" s="18" t="s">
        <v>19</v>
      </c>
      <c r="D9" s="37">
        <v>45536</v>
      </c>
      <c r="E9" s="19">
        <v>12000</v>
      </c>
      <c r="F9" s="38"/>
      <c r="G9" s="38">
        <f>E9/30.4*40</f>
        <v>15789.473684210527</v>
      </c>
      <c r="H9" s="38">
        <v>1917.13</v>
      </c>
      <c r="I9" s="38">
        <f>E9/30.4*20*0.25</f>
        <v>1973.6842105263158</v>
      </c>
      <c r="J9" s="38"/>
      <c r="K9" s="38"/>
      <c r="L9" s="19">
        <v>516.84</v>
      </c>
      <c r="M9" s="15">
        <f>+(E9/2)-L9</f>
        <v>5483.16</v>
      </c>
    </row>
    <row r="10" spans="1:14">
      <c r="A10" s="130" t="s">
        <v>63</v>
      </c>
      <c r="B10" s="20" t="s">
        <v>249</v>
      </c>
      <c r="C10" s="21" t="s">
        <v>19</v>
      </c>
      <c r="D10" s="133">
        <v>46023</v>
      </c>
      <c r="E10" s="79">
        <v>12000</v>
      </c>
      <c r="F10" s="81"/>
      <c r="G10" s="81">
        <f>E10/30.4*40</f>
        <v>15789.473684210527</v>
      </c>
      <c r="H10" s="81">
        <v>1917.13</v>
      </c>
      <c r="I10" s="81">
        <f>E10/30.4*20*0.25</f>
        <v>1973.6842105263158</v>
      </c>
      <c r="J10" s="81"/>
      <c r="K10" s="81"/>
      <c r="L10" s="79">
        <v>516.84</v>
      </c>
      <c r="M10" s="216">
        <f t="shared" ref="M10" si="0">+(E10/2)-L10</f>
        <v>5483.16</v>
      </c>
      <c r="N10" s="1"/>
    </row>
    <row r="11" spans="1:14" ht="24.75" thickBot="1">
      <c r="A11" s="217" t="s">
        <v>230</v>
      </c>
      <c r="B11" s="218" t="s">
        <v>54</v>
      </c>
      <c r="C11" s="219" t="s">
        <v>23</v>
      </c>
      <c r="D11" s="220">
        <v>45536</v>
      </c>
      <c r="E11" s="215">
        <f>4537.16*2</f>
        <v>9074.32</v>
      </c>
      <c r="F11" s="215"/>
      <c r="G11" s="215">
        <f>E11/30.4*40</f>
        <v>11939.894736842105</v>
      </c>
      <c r="H11" s="215">
        <v>561.49</v>
      </c>
      <c r="I11" s="215">
        <f>E11/30.4*20*0.25</f>
        <v>1492.4868421052631</v>
      </c>
      <c r="J11" s="215"/>
      <c r="K11" s="215">
        <v>116.53</v>
      </c>
      <c r="L11" s="215">
        <v>192.37</v>
      </c>
      <c r="M11" s="221">
        <f>+(E11/2)-L11-K11</f>
        <v>4228.26</v>
      </c>
      <c r="N11" s="1"/>
    </row>
    <row r="12" spans="1:14" s="1" customFormat="1">
      <c r="A12" s="217" t="s">
        <v>63</v>
      </c>
      <c r="B12" s="218" t="s">
        <v>253</v>
      </c>
      <c r="C12" s="219" t="s">
        <v>23</v>
      </c>
      <c r="D12" s="220">
        <v>46023</v>
      </c>
      <c r="E12" s="19">
        <v>12000</v>
      </c>
      <c r="F12" s="38"/>
      <c r="G12" s="38">
        <f>E12/30.4*40</f>
        <v>15789.473684210527</v>
      </c>
      <c r="H12" s="38">
        <v>1917.13</v>
      </c>
      <c r="I12" s="38">
        <f>E12/30.4*20*0.25</f>
        <v>1973.6842105263158</v>
      </c>
      <c r="J12" s="38"/>
      <c r="K12" s="38"/>
      <c r="L12" s="19">
        <v>516.84</v>
      </c>
      <c r="M12" s="15">
        <f>+(E12/2)-L12</f>
        <v>5483.16</v>
      </c>
    </row>
    <row r="13" spans="1:14" s="198" customFormat="1">
      <c r="A13" s="71"/>
      <c r="B13" s="72"/>
      <c r="C13" s="73"/>
      <c r="D13" s="197"/>
      <c r="E13" s="98"/>
      <c r="F13" s="98"/>
      <c r="G13" s="98"/>
      <c r="H13" s="98"/>
      <c r="I13" s="98"/>
      <c r="J13" s="98"/>
      <c r="K13" s="98"/>
      <c r="L13" s="98"/>
      <c r="M13" s="92"/>
    </row>
    <row r="14" spans="1:14" ht="25.5">
      <c r="A14" s="2"/>
      <c r="B14" s="2"/>
      <c r="C14" s="26"/>
      <c r="D14" s="45" t="s">
        <v>28</v>
      </c>
      <c r="E14" s="46">
        <f>SUM(E9:E12)</f>
        <v>45074.32</v>
      </c>
      <c r="F14" s="46">
        <f>SUM(F9:F11)</f>
        <v>0</v>
      </c>
      <c r="G14" s="46">
        <f>+G15/12</f>
        <v>4942.3596491228072</v>
      </c>
      <c r="H14" s="46">
        <f>+H15/12</f>
        <v>526.07333333333338</v>
      </c>
      <c r="I14" s="46">
        <f>+I15/2</f>
        <v>3706.7697368421054</v>
      </c>
      <c r="J14" s="46">
        <f>SUM(J9:J11)</f>
        <v>0</v>
      </c>
      <c r="K14" s="46">
        <f t="shared" ref="K14:L14" si="1">SUM(K9:K12)*2</f>
        <v>233.06</v>
      </c>
      <c r="L14" s="46">
        <f t="shared" si="1"/>
        <v>3485.7800000000007</v>
      </c>
      <c r="M14" s="46">
        <f>SUM(M9:M12)*2</f>
        <v>41355.479999999996</v>
      </c>
    </row>
    <row r="15" spans="1:14" ht="26.25" thickBot="1">
      <c r="A15" s="2"/>
      <c r="B15" s="2"/>
      <c r="C15" s="2"/>
      <c r="D15" s="29" t="s">
        <v>29</v>
      </c>
      <c r="E15" s="30">
        <f>+E14*12</f>
        <v>540891.84</v>
      </c>
      <c r="F15" s="30">
        <f>+F14*12</f>
        <v>0</v>
      </c>
      <c r="G15" s="30">
        <f>SUM(G9:G12)</f>
        <v>59308.315789473687</v>
      </c>
      <c r="H15" s="30">
        <f>SUM(H9:H12)</f>
        <v>6312.88</v>
      </c>
      <c r="I15" s="30">
        <f>SUM(I9:I12)</f>
        <v>7413.5394736842109</v>
      </c>
      <c r="J15" s="30">
        <f>+J14*12</f>
        <v>0</v>
      </c>
      <c r="K15" s="30">
        <f>+K14*12</f>
        <v>2796.7200000000003</v>
      </c>
      <c r="L15" s="30">
        <f>+L14*12</f>
        <v>41829.360000000008</v>
      </c>
      <c r="M15" s="30">
        <f>+M14*12</f>
        <v>496265.75999999995</v>
      </c>
    </row>
    <row r="16" spans="1:14">
      <c r="A16" s="31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31" t="s">
        <v>31</v>
      </c>
      <c r="B17" s="2"/>
      <c r="C17" s="2"/>
      <c r="D17" s="2"/>
      <c r="E17" s="32"/>
      <c r="F17" s="2"/>
      <c r="G17" s="2"/>
      <c r="H17" s="2"/>
      <c r="I17" s="2"/>
      <c r="J17" s="2"/>
      <c r="K17" s="2"/>
      <c r="L17" s="2"/>
      <c r="M17" s="2"/>
    </row>
    <row r="18" spans="1:13">
      <c r="A18" s="31" t="s">
        <v>32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2"/>
      <c r="M18" s="2"/>
    </row>
    <row r="19" spans="1:13">
      <c r="A19" s="31" t="s">
        <v>33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31" t="s">
        <v>34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</sheetData>
  <mergeCells count="15">
    <mergeCell ref="A1:M1"/>
    <mergeCell ref="I3:M3"/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I6:I7"/>
  </mergeCells>
  <pageMargins left="0.7" right="0.7" top="0.75" bottom="0.75" header="0.3" footer="0.3"/>
  <pageSetup paperSize="305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70" zoomScaleNormal="70" workbookViewId="0">
      <selection activeCell="M40" sqref="M40"/>
    </sheetView>
  </sheetViews>
  <sheetFormatPr baseColWidth="10" defaultColWidth="11.42578125" defaultRowHeight="15"/>
  <cols>
    <col min="1" max="1" width="17.140625" style="199" customWidth="1"/>
    <col min="2" max="2" width="18.28515625" style="199" bestFit="1" customWidth="1"/>
    <col min="3" max="4" width="11.42578125" style="199"/>
    <col min="5" max="5" width="16.28515625" style="199" customWidth="1"/>
    <col min="6" max="6" width="13.7109375" style="199" customWidth="1"/>
    <col min="7" max="7" width="14.42578125" style="199" customWidth="1"/>
    <col min="8" max="8" width="14.85546875" style="199" customWidth="1"/>
    <col min="9" max="9" width="18.5703125" style="199" customWidth="1"/>
    <col min="10" max="11" width="11.42578125" style="199"/>
    <col min="12" max="12" width="15" style="199" customWidth="1"/>
    <col min="13" max="13" width="15.42578125" style="199" bestFit="1" customWidth="1"/>
    <col min="14" max="16384" width="11.42578125" style="199"/>
  </cols>
  <sheetData>
    <row r="1" spans="1:13" ht="15.75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5.75" thickBo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>
      <c r="A3" s="136" t="s">
        <v>1</v>
      </c>
      <c r="B3" s="200"/>
      <c r="C3" s="138"/>
      <c r="D3" s="200"/>
      <c r="E3" s="200"/>
      <c r="F3" s="200"/>
      <c r="G3" s="200"/>
      <c r="H3" s="200"/>
      <c r="I3" s="325" t="s">
        <v>35</v>
      </c>
      <c r="J3" s="326"/>
      <c r="K3" s="326"/>
      <c r="L3" s="326"/>
      <c r="M3" s="327"/>
    </row>
    <row r="4" spans="1:13" ht="15.75" thickBot="1">
      <c r="A4" s="139" t="s">
        <v>278</v>
      </c>
      <c r="B4" s="140"/>
      <c r="C4" s="140"/>
      <c r="D4" s="140"/>
      <c r="E4" s="141"/>
      <c r="F4" s="141"/>
      <c r="G4" s="141"/>
      <c r="H4" s="141"/>
      <c r="I4" s="141"/>
      <c r="J4" s="141"/>
      <c r="K4" s="141"/>
      <c r="L4" s="141"/>
      <c r="M4" s="142"/>
    </row>
    <row r="5" spans="1:13" ht="15.75" thickBo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>
      <c r="A6" s="330" t="s">
        <v>4</v>
      </c>
      <c r="B6" s="332" t="s">
        <v>5</v>
      </c>
      <c r="C6" s="332" t="s">
        <v>6</v>
      </c>
      <c r="D6" s="332" t="s">
        <v>7</v>
      </c>
      <c r="E6" s="332" t="s">
        <v>8</v>
      </c>
      <c r="F6" s="332" t="s">
        <v>9</v>
      </c>
      <c r="G6" s="332" t="s">
        <v>10</v>
      </c>
      <c r="H6" s="332" t="s">
        <v>11</v>
      </c>
      <c r="I6" s="332" t="s">
        <v>12</v>
      </c>
      <c r="J6" s="332" t="s">
        <v>13</v>
      </c>
      <c r="K6" s="332" t="s">
        <v>14</v>
      </c>
      <c r="L6" s="332" t="s">
        <v>15</v>
      </c>
      <c r="M6" s="321" t="s">
        <v>233</v>
      </c>
    </row>
    <row r="7" spans="1:13" ht="15.75" thickBot="1">
      <c r="A7" s="331"/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22"/>
    </row>
    <row r="8" spans="1:13" ht="15.75" thickBot="1">
      <c r="A8" s="143"/>
      <c r="B8" s="143"/>
      <c r="C8" s="154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9" spans="1:13" ht="41.25" customHeight="1" thickBot="1">
      <c r="A9" s="273" t="s">
        <v>234</v>
      </c>
      <c r="B9" s="301" t="s">
        <v>279</v>
      </c>
      <c r="C9" s="272" t="s">
        <v>19</v>
      </c>
      <c r="D9" s="260">
        <v>45536</v>
      </c>
      <c r="E9" s="14">
        <v>12000</v>
      </c>
      <c r="F9" s="40"/>
      <c r="G9" s="40">
        <f>+E9/30.04*40</f>
        <v>15978.695073235685</v>
      </c>
      <c r="H9" s="40">
        <v>2216.84</v>
      </c>
      <c r="I9" s="40">
        <f>+((E9/30.04)*10)*0.25</f>
        <v>998.66844207723034</v>
      </c>
      <c r="J9" s="40"/>
      <c r="K9" s="38"/>
      <c r="L9" s="14">
        <v>516.84</v>
      </c>
      <c r="M9" s="196">
        <f>+(E9/2)-L9</f>
        <v>5483.16</v>
      </c>
    </row>
    <row r="10" spans="1:13" ht="41.25" customHeight="1">
      <c r="A10" s="273" t="s">
        <v>235</v>
      </c>
      <c r="B10" s="192" t="s">
        <v>251</v>
      </c>
      <c r="C10" s="156" t="s">
        <v>19</v>
      </c>
      <c r="D10" s="204">
        <v>43344</v>
      </c>
      <c r="E10" s="253">
        <v>10046</v>
      </c>
      <c r="F10" s="241"/>
      <c r="G10" s="241">
        <f>E10/30.4*40</f>
        <v>13218.42105263158</v>
      </c>
      <c r="H10" s="253">
        <v>917.37</v>
      </c>
      <c r="I10" s="241">
        <f>E10/30.4*20*0.25</f>
        <v>1652.3026315789475</v>
      </c>
      <c r="J10" s="241"/>
      <c r="K10" s="159"/>
      <c r="L10" s="253">
        <v>279</v>
      </c>
      <c r="M10" s="253">
        <f>+((E10+F10)/2)-L10</f>
        <v>4744</v>
      </c>
    </row>
    <row r="11" spans="1:13" ht="15.75" thickBot="1">
      <c r="A11" s="207"/>
      <c r="B11" s="208"/>
      <c r="C11" s="209"/>
      <c r="D11" s="170"/>
      <c r="E11" s="170"/>
      <c r="F11" s="170"/>
      <c r="G11" s="170"/>
      <c r="H11" s="170"/>
      <c r="I11" s="170"/>
      <c r="J11" s="170"/>
      <c r="K11" s="170"/>
      <c r="L11" s="170"/>
      <c r="M11" s="206"/>
    </row>
    <row r="12" spans="1:13" ht="25.5">
      <c r="A12" s="143"/>
      <c r="B12" s="143"/>
      <c r="C12" s="163"/>
      <c r="D12" s="164" t="s">
        <v>28</v>
      </c>
      <c r="E12" s="233">
        <f>SUM(E9:E11)</f>
        <v>22046</v>
      </c>
      <c r="F12" s="233">
        <f>SUM(F9:F11)</f>
        <v>0</v>
      </c>
      <c r="G12" s="233">
        <f>+G13/12</f>
        <v>2433.0930104889389</v>
      </c>
      <c r="H12" s="233">
        <f>+H13/12</f>
        <v>261.18416666666667</v>
      </c>
      <c r="I12" s="233">
        <f>+I13/2</f>
        <v>1325.4855368280889</v>
      </c>
      <c r="J12" s="233">
        <f>SUM(J10:J11)</f>
        <v>0</v>
      </c>
      <c r="K12" s="233">
        <f>SUM(K10:K11)</f>
        <v>0</v>
      </c>
      <c r="L12" s="233">
        <f>SUM(L9:L11)*2</f>
        <v>1591.68</v>
      </c>
      <c r="M12" s="233">
        <f>SUM(M9:M11)*2</f>
        <v>20454.32</v>
      </c>
    </row>
    <row r="13" spans="1:13" ht="26.25" thickBot="1">
      <c r="A13" s="143"/>
      <c r="B13" s="143"/>
      <c r="C13" s="143"/>
      <c r="D13" s="166" t="s">
        <v>29</v>
      </c>
      <c r="E13" s="182">
        <f>+E12*12</f>
        <v>264552</v>
      </c>
      <c r="F13" s="182">
        <f>+F12*12</f>
        <v>0</v>
      </c>
      <c r="G13" s="182">
        <f>SUM(G9:G10)</f>
        <v>29197.116125867266</v>
      </c>
      <c r="H13" s="182">
        <f>SUM(H9:H10)</f>
        <v>3134.21</v>
      </c>
      <c r="I13" s="182">
        <f>SUM(I9:I10)</f>
        <v>2650.9710736561779</v>
      </c>
      <c r="J13" s="182">
        <f>+J12*12</f>
        <v>0</v>
      </c>
      <c r="K13" s="182">
        <f>+K12*12</f>
        <v>0</v>
      </c>
      <c r="L13" s="182">
        <f>+L12*12</f>
        <v>19100.16</v>
      </c>
      <c r="M13" s="182">
        <f>+M12*12</f>
        <v>245451.84</v>
      </c>
    </row>
    <row r="14" spans="1:13">
      <c r="A14" s="168" t="s">
        <v>30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>
      <c r="A15" s="168" t="s">
        <v>31</v>
      </c>
      <c r="B15" s="143"/>
      <c r="C15" s="143"/>
      <c r="D15" s="143"/>
      <c r="E15" s="169"/>
      <c r="F15" s="143"/>
      <c r="G15" s="143"/>
      <c r="H15" s="143"/>
      <c r="I15" s="143"/>
      <c r="J15" s="143"/>
      <c r="K15" s="143"/>
      <c r="L15" s="169"/>
      <c r="M15" s="143"/>
    </row>
    <row r="16" spans="1:13">
      <c r="A16" s="168" t="s">
        <v>32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168" t="s">
        <v>33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>
      <c r="A18" s="168" t="s">
        <v>34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</sheetData>
  <mergeCells count="15">
    <mergeCell ref="A1:M1"/>
    <mergeCell ref="I3:M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ageMargins left="0.25" right="0.25" top="0.75" bottom="0.75" header="0.3" footer="0.3"/>
  <pageSetup paperSize="305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0" zoomScaleNormal="70" workbookViewId="0">
      <selection activeCell="P42" sqref="P42"/>
    </sheetView>
  </sheetViews>
  <sheetFormatPr baseColWidth="10" defaultRowHeight="15"/>
  <cols>
    <col min="5" max="5" width="16.85546875" customWidth="1"/>
    <col min="7" max="7" width="15.7109375" customWidth="1"/>
    <col min="8" max="8" width="13.7109375" customWidth="1"/>
    <col min="12" max="12" width="14.42578125" customWidth="1"/>
    <col min="13" max="13" width="15.42578125" customWidth="1"/>
  </cols>
  <sheetData>
    <row r="1" spans="1:13" ht="15.75">
      <c r="A1" s="336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1</v>
      </c>
      <c r="B3" s="126"/>
      <c r="C3" s="5"/>
      <c r="D3" s="126"/>
      <c r="E3" s="126"/>
      <c r="F3" s="126"/>
      <c r="G3" s="126"/>
      <c r="H3" s="126"/>
      <c r="I3" s="338" t="s">
        <v>35</v>
      </c>
      <c r="J3" s="339"/>
      <c r="K3" s="339"/>
      <c r="L3" s="339"/>
      <c r="M3" s="340"/>
    </row>
    <row r="4" spans="1:13" ht="15.75" thickBot="1">
      <c r="A4" s="34" t="s">
        <v>280</v>
      </c>
      <c r="B4" s="35"/>
      <c r="C4" s="35"/>
      <c r="D4" s="35"/>
      <c r="E4" s="7"/>
      <c r="F4" s="7"/>
      <c r="G4" s="7"/>
      <c r="H4" s="7"/>
      <c r="I4" s="7"/>
      <c r="J4" s="7"/>
      <c r="K4" s="7"/>
      <c r="L4" s="7"/>
      <c r="M4" s="8"/>
    </row>
    <row r="5" spans="1:13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57" t="s">
        <v>4</v>
      </c>
      <c r="B6" s="357" t="s">
        <v>5</v>
      </c>
      <c r="C6" s="357" t="s">
        <v>6</v>
      </c>
      <c r="D6" s="357" t="s">
        <v>7</v>
      </c>
      <c r="E6" s="357" t="s">
        <v>8</v>
      </c>
      <c r="F6" s="357" t="s">
        <v>9</v>
      </c>
      <c r="G6" s="357" t="s">
        <v>10</v>
      </c>
      <c r="H6" s="357" t="s">
        <v>11</v>
      </c>
      <c r="I6" s="357" t="s">
        <v>12</v>
      </c>
      <c r="J6" s="357" t="s">
        <v>13</v>
      </c>
      <c r="K6" s="357" t="s">
        <v>14</v>
      </c>
      <c r="L6" s="357" t="s">
        <v>15</v>
      </c>
      <c r="M6" s="343" t="s">
        <v>16</v>
      </c>
    </row>
    <row r="7" spans="1:13" ht="15.75" thickBot="1">
      <c r="A7" s="358"/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44"/>
    </row>
    <row r="8" spans="1:13" ht="15.75" thickBot="1">
      <c r="A8" s="2"/>
      <c r="B8" s="2"/>
      <c r="C8" s="9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45.75" thickBot="1">
      <c r="A9" s="302" t="s">
        <v>231</v>
      </c>
      <c r="B9" s="302" t="s">
        <v>232</v>
      </c>
      <c r="C9" s="12" t="s">
        <v>19</v>
      </c>
      <c r="D9" s="47">
        <v>45536</v>
      </c>
      <c r="E9" s="14">
        <v>12000</v>
      </c>
      <c r="F9" s="40"/>
      <c r="G9" s="40">
        <f>+E9/30.04*40</f>
        <v>15978.695073235685</v>
      </c>
      <c r="H9" s="40">
        <v>2216.84</v>
      </c>
      <c r="I9" s="40">
        <f>+((E9/30.04)*10)*0.25</f>
        <v>998.66844207723034</v>
      </c>
      <c r="J9" s="40"/>
      <c r="K9" s="38"/>
      <c r="L9" s="14">
        <v>516.84</v>
      </c>
      <c r="M9" s="196">
        <f>+(E9/2)-L9</f>
        <v>5483.16</v>
      </c>
    </row>
    <row r="10" spans="1:13" s="198" customFormat="1" ht="15.75" thickBot="1">
      <c r="A10" s="227"/>
      <c r="B10" s="227"/>
      <c r="C10" s="73"/>
      <c r="D10" s="74"/>
      <c r="E10" s="75"/>
      <c r="F10" s="76"/>
      <c r="G10" s="76"/>
      <c r="H10" s="76"/>
      <c r="I10" s="76"/>
      <c r="J10" s="76"/>
      <c r="K10" s="99"/>
      <c r="L10" s="75"/>
      <c r="M10" s="228"/>
    </row>
    <row r="11" spans="1:13" ht="25.5">
      <c r="A11" s="2"/>
      <c r="B11" s="2"/>
      <c r="C11" s="26"/>
      <c r="D11" s="27" t="s">
        <v>28</v>
      </c>
      <c r="E11" s="28">
        <f>SUM(E9:E9)</f>
        <v>12000</v>
      </c>
      <c r="F11" s="28">
        <f>SUM(F9:F9)</f>
        <v>0</v>
      </c>
      <c r="G11" s="28">
        <f>+G12/12</f>
        <v>1331.5579227696405</v>
      </c>
      <c r="H11" s="28">
        <f>+H12/12</f>
        <v>184.73666666666668</v>
      </c>
      <c r="I11" s="28">
        <f>+I12/2</f>
        <v>499.33422103861517</v>
      </c>
      <c r="J11" s="28">
        <f>SUM(J9:J9)</f>
        <v>0</v>
      </c>
      <c r="K11" s="28">
        <f>SUM(K9:K9)</f>
        <v>0</v>
      </c>
      <c r="L11" s="28">
        <f>SUM(L9:L9)*2</f>
        <v>1033.68</v>
      </c>
      <c r="M11" s="28">
        <f>SUM(M9:M9)*2</f>
        <v>10966.32</v>
      </c>
    </row>
    <row r="12" spans="1:13" ht="26.25" thickBot="1">
      <c r="A12" s="2"/>
      <c r="B12" s="2"/>
      <c r="C12" s="2"/>
      <c r="D12" s="29" t="s">
        <v>29</v>
      </c>
      <c r="E12" s="30">
        <f>+E11*12</f>
        <v>144000</v>
      </c>
      <c r="F12" s="30">
        <f>+F11*12</f>
        <v>0</v>
      </c>
      <c r="G12" s="30">
        <f>SUM(G9:G9)</f>
        <v>15978.695073235685</v>
      </c>
      <c r="H12" s="30">
        <f>SUM(H9:H9)</f>
        <v>2216.84</v>
      </c>
      <c r="I12" s="30">
        <f>SUM(I9:I9)</f>
        <v>998.66844207723034</v>
      </c>
      <c r="J12" s="30">
        <f>+J11*12</f>
        <v>0</v>
      </c>
      <c r="K12" s="30">
        <f>+K11*12</f>
        <v>0</v>
      </c>
      <c r="L12" s="30">
        <f>+L11*12</f>
        <v>12404.16</v>
      </c>
      <c r="M12" s="30">
        <f>+M11*12</f>
        <v>131595.84</v>
      </c>
    </row>
    <row r="13" spans="1:13">
      <c r="A13" s="31" t="s">
        <v>30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31" t="s">
        <v>31</v>
      </c>
      <c r="B14" s="2"/>
      <c r="C14" s="2"/>
      <c r="D14" s="2"/>
      <c r="E14" s="32"/>
      <c r="F14" s="2"/>
      <c r="G14" s="32"/>
      <c r="H14" s="32"/>
      <c r="I14" s="2"/>
      <c r="J14" s="2"/>
      <c r="K14" s="2"/>
      <c r="L14" s="2"/>
      <c r="M14" s="2"/>
    </row>
    <row r="15" spans="1:13">
      <c r="A15" s="31" t="s">
        <v>32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2"/>
      <c r="M15" s="2"/>
    </row>
    <row r="16" spans="1:13">
      <c r="A16" s="31" t="s">
        <v>33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31" t="s">
        <v>34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</sheetData>
  <mergeCells count="15">
    <mergeCell ref="A1:M1"/>
    <mergeCell ref="I3:M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ageMargins left="0.25" right="0.25" top="0.75" bottom="0.75" header="0.3" footer="0.3"/>
  <pageSetup paperSize="305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90" zoomScaleNormal="90" workbookViewId="0">
      <selection activeCell="J31" sqref="J31"/>
    </sheetView>
  </sheetViews>
  <sheetFormatPr baseColWidth="10" defaultRowHeight="15"/>
  <cols>
    <col min="2" max="2" width="28.140625" bestFit="1" customWidth="1"/>
    <col min="5" max="5" width="18.140625" customWidth="1"/>
    <col min="7" max="7" width="15.7109375" customWidth="1"/>
    <col min="8" max="8" width="20.42578125" bestFit="1" customWidth="1"/>
    <col min="9" max="9" width="16.5703125" customWidth="1"/>
    <col min="12" max="12" width="15.5703125" bestFit="1" customWidth="1"/>
    <col min="13" max="13" width="18.7109375" bestFit="1" customWidth="1"/>
  </cols>
  <sheetData>
    <row r="1" spans="1:13" ht="15.75">
      <c r="A1" s="336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1</v>
      </c>
      <c r="B3" s="126"/>
      <c r="C3" s="5"/>
      <c r="D3" s="126"/>
      <c r="E3" s="126"/>
      <c r="F3" s="126"/>
      <c r="G3" s="126"/>
      <c r="H3" s="126"/>
      <c r="I3" s="338" t="s">
        <v>35</v>
      </c>
      <c r="J3" s="339"/>
      <c r="K3" s="339"/>
      <c r="L3" s="339"/>
      <c r="M3" s="340"/>
    </row>
    <row r="4" spans="1:13" ht="15.75" thickBot="1">
      <c r="A4" s="34" t="s">
        <v>252</v>
      </c>
      <c r="B4" s="35"/>
      <c r="C4" s="35"/>
      <c r="D4" s="35"/>
      <c r="E4" s="7"/>
      <c r="F4" s="7"/>
      <c r="G4" s="7"/>
      <c r="H4" s="7"/>
      <c r="I4" s="7"/>
      <c r="J4" s="7"/>
      <c r="K4" s="7"/>
      <c r="L4" s="7"/>
      <c r="M4" s="8"/>
    </row>
    <row r="5" spans="1:13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57" t="s">
        <v>4</v>
      </c>
      <c r="B6" s="357" t="s">
        <v>5</v>
      </c>
      <c r="C6" s="357" t="s">
        <v>6</v>
      </c>
      <c r="D6" s="357" t="s">
        <v>7</v>
      </c>
      <c r="E6" s="357" t="s">
        <v>8</v>
      </c>
      <c r="F6" s="357" t="s">
        <v>9</v>
      </c>
      <c r="G6" s="357" t="s">
        <v>10</v>
      </c>
      <c r="H6" s="357" t="s">
        <v>11</v>
      </c>
      <c r="I6" s="357" t="s">
        <v>12</v>
      </c>
      <c r="J6" s="357" t="s">
        <v>13</v>
      </c>
      <c r="K6" s="357" t="s">
        <v>14</v>
      </c>
      <c r="L6" s="357" t="s">
        <v>15</v>
      </c>
      <c r="M6" s="343" t="s">
        <v>16</v>
      </c>
    </row>
    <row r="7" spans="1:13" ht="15.75" thickBot="1">
      <c r="A7" s="358"/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44"/>
    </row>
    <row r="8" spans="1:13" ht="15.75" thickBot="1">
      <c r="A8" s="2"/>
      <c r="B8" s="2"/>
      <c r="C8" s="9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5.75" thickBot="1">
      <c r="A9" s="195" t="s">
        <v>63</v>
      </c>
      <c r="B9" s="195" t="s">
        <v>245</v>
      </c>
      <c r="C9" s="12" t="s">
        <v>19</v>
      </c>
      <c r="D9" s="47">
        <v>46023</v>
      </c>
      <c r="E9" s="14">
        <v>12000</v>
      </c>
      <c r="F9" s="40"/>
      <c r="G9" s="40">
        <f>+E9/30.04*40</f>
        <v>15978.695073235685</v>
      </c>
      <c r="H9" s="40">
        <v>2216.84</v>
      </c>
      <c r="I9" s="40">
        <f>+((E9/30.04)*10)*0.25</f>
        <v>998.66844207723034</v>
      </c>
      <c r="J9" s="40"/>
      <c r="K9" s="38"/>
      <c r="L9" s="14">
        <v>516.84</v>
      </c>
      <c r="M9" s="196">
        <f>+(E9/2)-L9</f>
        <v>5483.16</v>
      </c>
    </row>
    <row r="10" spans="1:13" s="198" customFormat="1" ht="15.75" thickBot="1">
      <c r="A10" s="227"/>
      <c r="B10" s="227"/>
      <c r="C10" s="73"/>
      <c r="D10" s="74"/>
      <c r="E10" s="75"/>
      <c r="F10" s="76"/>
      <c r="G10" s="76"/>
      <c r="H10" s="76"/>
      <c r="I10" s="76"/>
      <c r="J10" s="76"/>
      <c r="K10" s="99"/>
      <c r="L10" s="75"/>
      <c r="M10" s="228"/>
    </row>
    <row r="11" spans="1:13" ht="25.5">
      <c r="A11" s="2"/>
      <c r="B11" s="2"/>
      <c r="C11" s="26"/>
      <c r="D11" s="27" t="s">
        <v>28</v>
      </c>
      <c r="E11" s="28">
        <f>SUM(E9:E9)</f>
        <v>12000</v>
      </c>
      <c r="F11" s="28">
        <f>SUM(F9:F9)</f>
        <v>0</v>
      </c>
      <c r="G11" s="28">
        <f>+G12/12</f>
        <v>1331.5579227696405</v>
      </c>
      <c r="H11" s="28">
        <f>+H12/12</f>
        <v>184.73666666666668</v>
      </c>
      <c r="I11" s="28">
        <f>+I12/2</f>
        <v>499.33422103861517</v>
      </c>
      <c r="J11" s="28">
        <f>SUM(J9:J9)</f>
        <v>0</v>
      </c>
      <c r="K11" s="28">
        <f>SUM(K9:K9)</f>
        <v>0</v>
      </c>
      <c r="L11" s="28">
        <f>SUM(L9:L9)*2</f>
        <v>1033.68</v>
      </c>
      <c r="M11" s="28">
        <f>SUM(M9:M9)*2</f>
        <v>10966.32</v>
      </c>
    </row>
    <row r="12" spans="1:13" ht="26.25" thickBot="1">
      <c r="A12" s="2"/>
      <c r="B12" s="2"/>
      <c r="C12" s="2"/>
      <c r="D12" s="29" t="s">
        <v>29</v>
      </c>
      <c r="E12" s="30">
        <f>+E11*12</f>
        <v>144000</v>
      </c>
      <c r="F12" s="30">
        <f>+F11*12</f>
        <v>0</v>
      </c>
      <c r="G12" s="30">
        <f>SUM(G9:G9)</f>
        <v>15978.695073235685</v>
      </c>
      <c r="H12" s="30">
        <f>SUM(H9:H9)</f>
        <v>2216.84</v>
      </c>
      <c r="I12" s="30">
        <f>SUM(I9:I9)</f>
        <v>998.66844207723034</v>
      </c>
      <c r="J12" s="30">
        <f>+J11*12</f>
        <v>0</v>
      </c>
      <c r="K12" s="30">
        <f>+K11*12</f>
        <v>0</v>
      </c>
      <c r="L12" s="30">
        <f>+L11*12</f>
        <v>12404.16</v>
      </c>
      <c r="M12" s="30">
        <f>+M11*12</f>
        <v>131595.84</v>
      </c>
    </row>
    <row r="13" spans="1:13">
      <c r="A13" s="31" t="s">
        <v>30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31" t="s">
        <v>31</v>
      </c>
      <c r="B14" s="2"/>
      <c r="C14" s="2"/>
      <c r="D14" s="2"/>
      <c r="E14" s="32"/>
      <c r="F14" s="2"/>
      <c r="G14" s="32"/>
      <c r="H14" s="32"/>
      <c r="I14" s="2"/>
      <c r="J14" s="2"/>
      <c r="K14" s="2"/>
      <c r="L14" s="2"/>
      <c r="M14" s="2"/>
    </row>
    <row r="15" spans="1:13">
      <c r="A15" s="31" t="s">
        <v>32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2"/>
      <c r="M15" s="2"/>
    </row>
    <row r="16" spans="1:13">
      <c r="A16" s="31" t="s">
        <v>33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31" t="s">
        <v>34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23" spans="1:13">
      <c r="G23">
        <f>G25</f>
        <v>0</v>
      </c>
    </row>
  </sheetData>
  <mergeCells count="15">
    <mergeCell ref="A1:M1"/>
    <mergeCell ref="I3:M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ageMargins left="0.25" right="0.25" top="0.75" bottom="0.75" header="0.3" footer="0.3"/>
  <pageSetup paperSize="30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="60" zoomScaleNormal="60" workbookViewId="0">
      <selection activeCell="Q21" sqref="Q20:Q21"/>
    </sheetView>
  </sheetViews>
  <sheetFormatPr baseColWidth="10" defaultRowHeight="15"/>
  <cols>
    <col min="3" max="3" width="9.140625" customWidth="1"/>
    <col min="5" max="5" width="18" customWidth="1"/>
    <col min="6" max="6" width="15.5703125" customWidth="1"/>
    <col min="7" max="7" width="15.85546875" customWidth="1"/>
    <col min="8" max="8" width="15.140625" customWidth="1"/>
    <col min="11" max="11" width="14.28515625" customWidth="1"/>
    <col min="12" max="12" width="16" customWidth="1"/>
    <col min="13" max="13" width="18.5703125" customWidth="1"/>
  </cols>
  <sheetData>
    <row r="1" spans="1:17" ht="15.75">
      <c r="A1" s="336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7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7">
      <c r="A3" s="3" t="s">
        <v>1</v>
      </c>
      <c r="B3" s="4"/>
      <c r="C3" s="5"/>
      <c r="D3" s="4"/>
      <c r="E3" s="4"/>
      <c r="F3" s="4"/>
      <c r="G3" s="4"/>
      <c r="H3" s="4"/>
      <c r="I3" s="338" t="s">
        <v>35</v>
      </c>
      <c r="J3" s="339"/>
      <c r="K3" s="339"/>
      <c r="L3" s="339"/>
      <c r="M3" s="340"/>
    </row>
    <row r="4" spans="1:17" ht="15.75" thickBot="1">
      <c r="A4" s="341" t="s">
        <v>41</v>
      </c>
      <c r="B4" s="342"/>
      <c r="C4" s="342"/>
      <c r="D4" s="342"/>
      <c r="E4" s="7"/>
      <c r="F4" s="7"/>
      <c r="G4" s="7"/>
      <c r="H4" s="7"/>
      <c r="I4" s="7"/>
      <c r="J4" s="7"/>
      <c r="K4" s="7"/>
      <c r="L4" s="7"/>
      <c r="M4" s="8"/>
    </row>
    <row r="5" spans="1:17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7">
      <c r="A6" s="343" t="s">
        <v>4</v>
      </c>
      <c r="B6" s="345" t="s">
        <v>5</v>
      </c>
      <c r="C6" s="345" t="s">
        <v>6</v>
      </c>
      <c r="D6" s="345" t="s">
        <v>7</v>
      </c>
      <c r="E6" s="345" t="s">
        <v>42</v>
      </c>
      <c r="F6" s="345" t="s">
        <v>9</v>
      </c>
      <c r="G6" s="345" t="s">
        <v>10</v>
      </c>
      <c r="H6" s="345" t="s">
        <v>11</v>
      </c>
      <c r="I6" s="345" t="s">
        <v>12</v>
      </c>
      <c r="J6" s="345" t="s">
        <v>13</v>
      </c>
      <c r="K6" s="345" t="s">
        <v>14</v>
      </c>
      <c r="L6" s="345" t="s">
        <v>15</v>
      </c>
      <c r="M6" s="334" t="s">
        <v>16</v>
      </c>
    </row>
    <row r="7" spans="1:17" ht="15.75" thickBot="1">
      <c r="A7" s="344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35"/>
    </row>
    <row r="8" spans="1:17" ht="15.75" thickBot="1">
      <c r="A8" s="2"/>
      <c r="B8" s="2"/>
      <c r="C8" s="9"/>
      <c r="D8" s="2"/>
      <c r="E8" s="2"/>
      <c r="F8" s="2"/>
      <c r="G8" s="2"/>
      <c r="H8" s="2"/>
      <c r="I8" s="2"/>
      <c r="J8" s="2"/>
      <c r="K8" s="2"/>
      <c r="L8" s="2"/>
      <c r="M8" s="2"/>
      <c r="O8" s="125"/>
    </row>
    <row r="9" spans="1:17" ht="36.75" thickBot="1">
      <c r="A9" s="10" t="s">
        <v>43</v>
      </c>
      <c r="B9" s="11" t="s">
        <v>44</v>
      </c>
      <c r="C9" s="12" t="s">
        <v>19</v>
      </c>
      <c r="D9" s="47">
        <v>45536</v>
      </c>
      <c r="E9" s="14">
        <v>19618.7</v>
      </c>
      <c r="F9" s="14">
        <v>7895.6</v>
      </c>
      <c r="G9" s="40">
        <f>E9/30.4*40</f>
        <v>25814.078947368427</v>
      </c>
      <c r="H9" s="40">
        <v>2970.32</v>
      </c>
      <c r="I9" s="14"/>
      <c r="J9" s="48"/>
      <c r="K9" s="49">
        <v>358.08</v>
      </c>
      <c r="L9" s="14">
        <v>2104.0700000000002</v>
      </c>
      <c r="M9" s="15">
        <f>+((E9+F9)/2)-K9-L9</f>
        <v>11295.000000000002</v>
      </c>
      <c r="O9" s="299"/>
      <c r="P9" s="299"/>
      <c r="Q9" s="299"/>
    </row>
    <row r="10" spans="1:17" ht="36.75" thickBot="1">
      <c r="A10" s="16" t="s">
        <v>45</v>
      </c>
      <c r="B10" s="17" t="s">
        <v>46</v>
      </c>
      <c r="C10" s="18" t="s">
        <v>19</v>
      </c>
      <c r="D10" s="47">
        <v>45536</v>
      </c>
      <c r="E10" s="14">
        <v>19618.7</v>
      </c>
      <c r="F10" s="14">
        <v>7895.6</v>
      </c>
      <c r="G10" s="40">
        <f t="shared" ref="G10:G14" si="0">E10/30.4*40</f>
        <v>25814.078947368427</v>
      </c>
      <c r="H10" s="40">
        <v>2970.32</v>
      </c>
      <c r="I10" s="14"/>
      <c r="J10" s="48"/>
      <c r="K10" s="49">
        <v>358.08</v>
      </c>
      <c r="L10" s="14">
        <v>2104.0700000000002</v>
      </c>
      <c r="M10" s="15">
        <f t="shared" ref="M10:M15" si="1">+((E10+F10)/2)-K10-L10</f>
        <v>11295.000000000002</v>
      </c>
      <c r="Q10" s="299"/>
    </row>
    <row r="11" spans="1:17" ht="48.75" thickBot="1">
      <c r="A11" s="16" t="s">
        <v>47</v>
      </c>
      <c r="B11" s="17" t="s">
        <v>44</v>
      </c>
      <c r="C11" s="18" t="s">
        <v>19</v>
      </c>
      <c r="D11" s="47">
        <v>45536</v>
      </c>
      <c r="E11" s="14">
        <v>19618.7</v>
      </c>
      <c r="F11" s="14">
        <v>7895.6</v>
      </c>
      <c r="G11" s="40">
        <f t="shared" si="0"/>
        <v>25814.078947368427</v>
      </c>
      <c r="H11" s="40">
        <v>2970.32</v>
      </c>
      <c r="I11" s="14"/>
      <c r="J11" s="48"/>
      <c r="K11" s="49">
        <v>358.08</v>
      </c>
      <c r="L11" s="14">
        <v>2104.0700000000002</v>
      </c>
      <c r="M11" s="15">
        <f t="shared" si="1"/>
        <v>11295.000000000002</v>
      </c>
    </row>
    <row r="12" spans="1:17" ht="36.75" thickBot="1">
      <c r="A12" s="16" t="s">
        <v>48</v>
      </c>
      <c r="B12" s="17" t="s">
        <v>46</v>
      </c>
      <c r="C12" s="18" t="s">
        <v>19</v>
      </c>
      <c r="D12" s="47">
        <v>45536</v>
      </c>
      <c r="E12" s="14">
        <v>19618.7</v>
      </c>
      <c r="F12" s="14">
        <v>7895.6</v>
      </c>
      <c r="G12" s="40">
        <f t="shared" si="0"/>
        <v>25814.078947368427</v>
      </c>
      <c r="H12" s="40">
        <v>2970.32</v>
      </c>
      <c r="I12" s="14"/>
      <c r="J12" s="48"/>
      <c r="K12" s="49">
        <v>358.08</v>
      </c>
      <c r="L12" s="14">
        <v>2104.0700000000002</v>
      </c>
      <c r="M12" s="15">
        <f t="shared" si="1"/>
        <v>11295.000000000002</v>
      </c>
    </row>
    <row r="13" spans="1:17" ht="48.75" thickBot="1">
      <c r="A13" s="16" t="s">
        <v>49</v>
      </c>
      <c r="B13" s="17" t="s">
        <v>44</v>
      </c>
      <c r="C13" s="18" t="s">
        <v>19</v>
      </c>
      <c r="D13" s="47">
        <v>45536</v>
      </c>
      <c r="E13" s="14">
        <v>19618.7</v>
      </c>
      <c r="F13" s="14">
        <v>7895.6</v>
      </c>
      <c r="G13" s="40">
        <f t="shared" si="0"/>
        <v>25814.078947368427</v>
      </c>
      <c r="H13" s="40">
        <v>2970.32</v>
      </c>
      <c r="I13" s="14"/>
      <c r="J13" s="48"/>
      <c r="K13" s="49">
        <v>358.08</v>
      </c>
      <c r="L13" s="14">
        <v>2104.0700000000002</v>
      </c>
      <c r="M13" s="15">
        <f t="shared" si="1"/>
        <v>11295.000000000002</v>
      </c>
    </row>
    <row r="14" spans="1:17" ht="48.75" thickBot="1">
      <c r="A14" s="16" t="s">
        <v>50</v>
      </c>
      <c r="B14" s="17" t="s">
        <v>44</v>
      </c>
      <c r="C14" s="18" t="s">
        <v>19</v>
      </c>
      <c r="D14" s="47">
        <v>45536</v>
      </c>
      <c r="E14" s="14">
        <v>19618.7</v>
      </c>
      <c r="F14" s="14">
        <v>7895.6</v>
      </c>
      <c r="G14" s="40">
        <f t="shared" si="0"/>
        <v>25814.078947368427</v>
      </c>
      <c r="H14" s="40">
        <v>2970.32</v>
      </c>
      <c r="I14" s="14"/>
      <c r="J14" s="48"/>
      <c r="K14" s="49">
        <v>358.08</v>
      </c>
      <c r="L14" s="14">
        <v>2104.0700000000002</v>
      </c>
      <c r="M14" s="15">
        <f t="shared" si="1"/>
        <v>11295.000000000002</v>
      </c>
    </row>
    <row r="15" spans="1:17" ht="36.75" thickBot="1">
      <c r="A15" s="23" t="s">
        <v>51</v>
      </c>
      <c r="B15" s="24" t="s">
        <v>44</v>
      </c>
      <c r="C15" s="25" t="s">
        <v>19</v>
      </c>
      <c r="D15" s="47">
        <v>45536</v>
      </c>
      <c r="E15" s="14">
        <v>19618.7</v>
      </c>
      <c r="F15" s="14">
        <v>7895.6</v>
      </c>
      <c r="G15" s="40">
        <f t="shared" ref="G15" si="2">E15/30.4*40</f>
        <v>25814.078947368427</v>
      </c>
      <c r="H15" s="40">
        <v>2970.32</v>
      </c>
      <c r="I15" s="14"/>
      <c r="J15" s="48"/>
      <c r="K15" s="49">
        <v>358.08</v>
      </c>
      <c r="L15" s="14">
        <v>2104.0700000000002</v>
      </c>
      <c r="M15" s="15">
        <f t="shared" si="1"/>
        <v>11295.000000000002</v>
      </c>
    </row>
    <row r="16" spans="1:17" ht="15.75" thickBot="1">
      <c r="A16" s="71"/>
      <c r="B16" s="72"/>
      <c r="C16" s="73"/>
      <c r="D16" s="74"/>
      <c r="E16" s="75"/>
      <c r="F16" s="75"/>
      <c r="G16" s="76"/>
      <c r="H16" s="76"/>
      <c r="I16" s="75"/>
      <c r="J16" s="77"/>
      <c r="K16" s="49"/>
      <c r="L16" s="75"/>
      <c r="M16" s="78"/>
    </row>
    <row r="17" spans="1:13" ht="26.25" thickBot="1">
      <c r="A17" s="2"/>
      <c r="B17" s="2"/>
      <c r="C17" s="26"/>
      <c r="D17" s="27" t="s">
        <v>28</v>
      </c>
      <c r="E17" s="28">
        <f>SUM(E9:E15)</f>
        <v>137330.9</v>
      </c>
      <c r="F17" s="28">
        <f>SUM(F9:F15)</f>
        <v>55269.2</v>
      </c>
      <c r="G17" s="28">
        <f>+G18/12</f>
        <v>15058.21271929825</v>
      </c>
      <c r="H17" s="28">
        <f>+H18/12</f>
        <v>1732.6866666666667</v>
      </c>
      <c r="I17" s="28">
        <f>SUM(I9:I15)</f>
        <v>0</v>
      </c>
      <c r="J17" s="28">
        <f>SUM(J9:J15)</f>
        <v>0</v>
      </c>
      <c r="K17" s="50">
        <f>+SUM(K9:K15)*2</f>
        <v>5013.12</v>
      </c>
      <c r="L17" s="50">
        <f t="shared" ref="L17" si="3">+SUM(L9:L15)*2</f>
        <v>29456.98</v>
      </c>
      <c r="M17" s="50">
        <f>+SUM(M9:M15)*2</f>
        <v>158130.00000000003</v>
      </c>
    </row>
    <row r="18" spans="1:13" ht="26.25" thickBot="1">
      <c r="A18" s="2"/>
      <c r="B18" s="2"/>
      <c r="C18" s="2"/>
      <c r="D18" s="29" t="s">
        <v>29</v>
      </c>
      <c r="E18" s="30">
        <f>+E17*12</f>
        <v>1647970.7999999998</v>
      </c>
      <c r="F18" s="30">
        <f>+F17*12</f>
        <v>663230.39999999991</v>
      </c>
      <c r="G18" s="30">
        <f>SUM(G9:G15)</f>
        <v>180698.55263157899</v>
      </c>
      <c r="H18" s="30">
        <f>SUM(H9:H15)</f>
        <v>20792.240000000002</v>
      </c>
      <c r="I18" s="30">
        <f>+I17*12</f>
        <v>0</v>
      </c>
      <c r="J18" s="30">
        <f>+J17*12</f>
        <v>0</v>
      </c>
      <c r="K18" s="51">
        <f>+K17*12</f>
        <v>60157.440000000002</v>
      </c>
      <c r="L18" s="30">
        <f>+L17*12</f>
        <v>353483.76</v>
      </c>
      <c r="M18" s="52">
        <f>+M17*12</f>
        <v>1897560.0000000005</v>
      </c>
    </row>
    <row r="19" spans="1:13">
      <c r="A19" s="53"/>
      <c r="B19" s="53"/>
      <c r="C19" s="54"/>
      <c r="D19" s="55"/>
      <c r="E19" s="56"/>
      <c r="F19" s="57"/>
      <c r="G19" s="58"/>
      <c r="H19" s="58"/>
      <c r="I19" s="56"/>
      <c r="J19" s="59"/>
      <c r="K19" s="59"/>
      <c r="L19" s="56"/>
      <c r="M19" s="57"/>
    </row>
    <row r="20" spans="1:13">
      <c r="A20" s="31" t="s">
        <v>30</v>
      </c>
      <c r="E20" s="32"/>
      <c r="K20" s="32"/>
    </row>
    <row r="21" spans="1:13">
      <c r="A21" s="31" t="s">
        <v>31</v>
      </c>
      <c r="F21" s="32"/>
      <c r="L21" s="32"/>
    </row>
    <row r="22" spans="1:13">
      <c r="A22" s="31" t="s">
        <v>32</v>
      </c>
      <c r="G22" s="32"/>
      <c r="K22" s="60"/>
    </row>
    <row r="23" spans="1:13">
      <c r="A23" s="31" t="s">
        <v>33</v>
      </c>
    </row>
    <row r="24" spans="1:13">
      <c r="A24" s="31" t="s">
        <v>34</v>
      </c>
    </row>
    <row r="25" spans="1:13">
      <c r="A25" s="53"/>
      <c r="B25" s="53"/>
      <c r="C25" s="54"/>
      <c r="D25" s="55"/>
      <c r="E25" s="56"/>
      <c r="F25" s="57"/>
      <c r="G25" s="58"/>
      <c r="H25" s="58"/>
      <c r="I25" s="56"/>
      <c r="J25" s="59"/>
      <c r="K25" s="59"/>
      <c r="L25" s="56"/>
      <c r="M25" s="57"/>
    </row>
    <row r="26" spans="1:13">
      <c r="A26" s="53"/>
      <c r="B26" s="53"/>
      <c r="C26" s="54"/>
      <c r="D26" s="55"/>
      <c r="E26" s="56"/>
      <c r="F26" s="57"/>
      <c r="G26" s="58"/>
      <c r="H26" s="58"/>
      <c r="I26" s="56"/>
      <c r="J26" s="59"/>
      <c r="K26" s="59"/>
      <c r="L26" s="56"/>
      <c r="M26" s="57"/>
    </row>
    <row r="27" spans="1:13" ht="15.75">
      <c r="A27" s="336" t="s">
        <v>0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</row>
    <row r="28" spans="1:13" ht="15.7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3" t="s">
        <v>1</v>
      </c>
      <c r="B29" s="4"/>
      <c r="C29" s="5"/>
      <c r="D29" s="4"/>
      <c r="E29" s="4"/>
      <c r="F29" s="4"/>
      <c r="G29" s="4"/>
      <c r="H29" s="4"/>
      <c r="I29" s="338" t="s">
        <v>35</v>
      </c>
      <c r="J29" s="339"/>
      <c r="K29" s="339"/>
      <c r="L29" s="339"/>
      <c r="M29" s="340"/>
    </row>
    <row r="30" spans="1:13" ht="15.75" thickBot="1">
      <c r="A30" s="341" t="s">
        <v>41</v>
      </c>
      <c r="B30" s="342"/>
      <c r="C30" s="342"/>
      <c r="D30" s="342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A31" s="61"/>
      <c r="B31" s="62"/>
      <c r="C31" s="63"/>
      <c r="D31" s="64"/>
      <c r="E31" s="65"/>
      <c r="F31" s="66"/>
      <c r="G31" s="67"/>
      <c r="H31" s="67"/>
      <c r="I31" s="65"/>
      <c r="J31" s="68"/>
      <c r="K31" s="68"/>
      <c r="L31" s="65"/>
      <c r="M31" s="41"/>
    </row>
    <row r="32" spans="1:13" ht="15.75" thickBot="1">
      <c r="A32" s="61"/>
      <c r="B32" s="62"/>
      <c r="C32" s="63"/>
      <c r="D32" s="64"/>
      <c r="E32" s="65"/>
      <c r="F32" s="66"/>
      <c r="G32" s="67"/>
      <c r="H32" s="67"/>
      <c r="I32" s="65"/>
      <c r="J32" s="68"/>
      <c r="K32" s="68"/>
      <c r="L32" s="65"/>
      <c r="M32" s="41"/>
    </row>
    <row r="33" spans="1:13">
      <c r="A33" s="343" t="s">
        <v>4</v>
      </c>
      <c r="B33" s="345" t="s">
        <v>5</v>
      </c>
      <c r="C33" s="345" t="s">
        <v>6</v>
      </c>
      <c r="D33" s="345" t="s">
        <v>7</v>
      </c>
      <c r="E33" s="345" t="s">
        <v>8</v>
      </c>
      <c r="F33" s="345" t="s">
        <v>9</v>
      </c>
      <c r="G33" s="345" t="s">
        <v>10</v>
      </c>
      <c r="H33" s="345" t="s">
        <v>11</v>
      </c>
      <c r="I33" s="345" t="s">
        <v>12</v>
      </c>
      <c r="J33" s="345" t="s">
        <v>13</v>
      </c>
      <c r="K33" s="345" t="s">
        <v>14</v>
      </c>
      <c r="L33" s="345" t="s">
        <v>15</v>
      </c>
      <c r="M33" s="334" t="s">
        <v>52</v>
      </c>
    </row>
    <row r="34" spans="1:13" ht="15.75" thickBot="1">
      <c r="A34" s="344"/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35"/>
    </row>
    <row r="35" spans="1:13">
      <c r="A35" s="39" t="s">
        <v>53</v>
      </c>
      <c r="B35" s="17" t="s">
        <v>54</v>
      </c>
      <c r="C35" s="18" t="s">
        <v>23</v>
      </c>
      <c r="D35" s="13">
        <v>45536</v>
      </c>
      <c r="E35" s="19">
        <v>9079.06</v>
      </c>
      <c r="F35" s="19"/>
      <c r="G35" s="19">
        <f>E35/30.4*40</f>
        <v>11946.131578947368</v>
      </c>
      <c r="H35" s="19">
        <v>561.49</v>
      </c>
      <c r="I35" s="19">
        <f>E35/30.4*20*0.25</f>
        <v>1493.266447368421</v>
      </c>
      <c r="J35" s="19"/>
      <c r="K35" s="19">
        <v>273.94</v>
      </c>
      <c r="L35" s="14">
        <v>337.16</v>
      </c>
      <c r="M35" s="15">
        <f>+(E35/2)-L35</f>
        <v>4202.37</v>
      </c>
    </row>
    <row r="36" spans="1:13" ht="15.75" thickBot="1">
      <c r="A36" s="42"/>
      <c r="B36" s="43"/>
      <c r="C36" s="44"/>
      <c r="D36" s="69"/>
      <c r="E36" s="69"/>
      <c r="F36" s="69"/>
      <c r="G36" s="69"/>
      <c r="H36" s="69"/>
      <c r="I36" s="69"/>
      <c r="J36" s="69"/>
      <c r="K36" s="69"/>
      <c r="L36" s="69"/>
      <c r="M36" s="70"/>
    </row>
    <row r="37" spans="1:13" ht="26.25" thickBot="1">
      <c r="A37" s="2"/>
      <c r="B37" s="2"/>
      <c r="C37" s="26"/>
      <c r="D37" s="27" t="s">
        <v>28</v>
      </c>
      <c r="E37" s="28">
        <f>SUM(E35:E36)</f>
        <v>9079.06</v>
      </c>
      <c r="F37" s="28">
        <f>SUM(F25:F36)</f>
        <v>0</v>
      </c>
      <c r="G37" s="28">
        <f>+G38/12</f>
        <v>995.51096491228066</v>
      </c>
      <c r="H37" s="28">
        <f>+H38/12</f>
        <v>46.790833333333332</v>
      </c>
      <c r="I37" s="28">
        <f>+I38/2</f>
        <v>746.63322368421052</v>
      </c>
      <c r="J37" s="28">
        <f>SUM(J25:J36)</f>
        <v>0</v>
      </c>
      <c r="K37" s="28">
        <f>SUM(K25:K36)</f>
        <v>273.94</v>
      </c>
      <c r="L37" s="28">
        <f>SUM(L35:L36)*2</f>
        <v>674.32</v>
      </c>
      <c r="M37" s="28">
        <f>SUM(M35:M36)*2</f>
        <v>8404.74</v>
      </c>
    </row>
    <row r="38" spans="1:13" ht="26.25" thickBot="1">
      <c r="A38" s="2"/>
      <c r="B38" s="2"/>
      <c r="C38" s="2"/>
      <c r="D38" s="29" t="s">
        <v>29</v>
      </c>
      <c r="E38" s="30">
        <f>+E37*12</f>
        <v>108948.72</v>
      </c>
      <c r="F38" s="30">
        <f>+F37*12</f>
        <v>0</v>
      </c>
      <c r="G38" s="30">
        <f>SUM(G35:G36)</f>
        <v>11946.131578947368</v>
      </c>
      <c r="H38" s="30">
        <f>SUM(H35:H36)</f>
        <v>561.49</v>
      </c>
      <c r="I38" s="30">
        <f>SUM(I35)</f>
        <v>1493.266447368421</v>
      </c>
      <c r="J38" s="30">
        <f>+J37*12</f>
        <v>0</v>
      </c>
      <c r="K38" s="28">
        <f>+K37*12</f>
        <v>3287.2799999999997</v>
      </c>
      <c r="L38" s="30">
        <f>+L37*12</f>
        <v>8091.84</v>
      </c>
      <c r="M38" s="30">
        <f>+M37*12</f>
        <v>100856.88</v>
      </c>
    </row>
    <row r="39" spans="1:13">
      <c r="A39" s="31" t="s">
        <v>30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31" t="s">
        <v>31</v>
      </c>
      <c r="B40" s="2"/>
      <c r="C40" s="2"/>
      <c r="D40" s="2"/>
      <c r="E40" s="32"/>
      <c r="F40" s="2"/>
      <c r="G40" s="2"/>
      <c r="H40" s="2"/>
      <c r="I40" s="2"/>
      <c r="J40" s="2"/>
      <c r="K40" s="2"/>
      <c r="L40" s="2"/>
      <c r="M40" s="2"/>
    </row>
    <row r="41" spans="1:13">
      <c r="A41" s="31" t="s">
        <v>32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31" t="s">
        <v>33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31" t="s">
        <v>34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</sheetData>
  <mergeCells count="32">
    <mergeCell ref="M33:M34"/>
    <mergeCell ref="A27:M27"/>
    <mergeCell ref="I29:M29"/>
    <mergeCell ref="A30:D30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6:M7"/>
    <mergeCell ref="A1:M1"/>
    <mergeCell ref="I3:M3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305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60" zoomScaleNormal="60" workbookViewId="0">
      <selection activeCell="M29" sqref="M29"/>
    </sheetView>
  </sheetViews>
  <sheetFormatPr baseColWidth="10" defaultRowHeight="15"/>
  <cols>
    <col min="1" max="1" width="30.42578125" customWidth="1"/>
    <col min="5" max="5" width="16.5703125" customWidth="1"/>
    <col min="6" max="6" width="16.28515625" customWidth="1"/>
    <col min="7" max="7" width="16.28515625" bestFit="1" customWidth="1"/>
    <col min="8" max="8" width="16.140625" customWidth="1"/>
    <col min="9" max="9" width="13.28515625" customWidth="1"/>
    <col min="10" max="10" width="13.85546875" customWidth="1"/>
    <col min="11" max="11" width="14.5703125" bestFit="1" customWidth="1"/>
    <col min="13" max="13" width="15.5703125" customWidth="1"/>
    <col min="14" max="14" width="18" customWidth="1"/>
  </cols>
  <sheetData>
    <row r="1" spans="1:15" ht="15.75">
      <c r="A1" s="336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5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>
      <c r="A3" s="3" t="s">
        <v>1</v>
      </c>
      <c r="B3" s="4"/>
      <c r="C3" s="5"/>
      <c r="D3" s="4"/>
      <c r="E3" s="4"/>
      <c r="F3" s="4"/>
      <c r="G3" s="4"/>
      <c r="H3" s="4"/>
      <c r="I3" s="4"/>
      <c r="J3" s="338" t="s">
        <v>35</v>
      </c>
      <c r="K3" s="339"/>
      <c r="L3" s="339"/>
      <c r="M3" s="339"/>
      <c r="N3" s="340"/>
    </row>
    <row r="4" spans="1:15" ht="15.75" thickBot="1">
      <c r="A4" s="341" t="s">
        <v>55</v>
      </c>
      <c r="B4" s="342"/>
      <c r="C4" s="342"/>
      <c r="D4" s="342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5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>
      <c r="A6" s="343" t="s">
        <v>4</v>
      </c>
      <c r="B6" s="345" t="s">
        <v>5</v>
      </c>
      <c r="C6" s="345" t="s">
        <v>6</v>
      </c>
      <c r="D6" s="345" t="s">
        <v>7</v>
      </c>
      <c r="E6" s="345" t="s">
        <v>8</v>
      </c>
      <c r="F6" s="345" t="s">
        <v>42</v>
      </c>
      <c r="G6" s="345" t="s">
        <v>9</v>
      </c>
      <c r="H6" s="345" t="s">
        <v>10</v>
      </c>
      <c r="I6" s="345" t="s">
        <v>11</v>
      </c>
      <c r="J6" s="345" t="s">
        <v>12</v>
      </c>
      <c r="K6" s="345" t="s">
        <v>282</v>
      </c>
      <c r="L6" s="345" t="s">
        <v>14</v>
      </c>
      <c r="M6" s="345" t="s">
        <v>15</v>
      </c>
      <c r="N6" s="334" t="s">
        <v>16</v>
      </c>
    </row>
    <row r="7" spans="1:15" ht="15.75" thickBot="1">
      <c r="A7" s="344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35"/>
    </row>
    <row r="8" spans="1:15" ht="15.75" thickBot="1">
      <c r="A8" s="2"/>
      <c r="B8" s="2"/>
      <c r="C8" s="9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21" customHeight="1" thickBot="1">
      <c r="A9" s="10" t="s">
        <v>56</v>
      </c>
      <c r="B9" s="84" t="s">
        <v>57</v>
      </c>
      <c r="C9" s="47" t="s">
        <v>19</v>
      </c>
      <c r="D9" s="47">
        <v>45536</v>
      </c>
      <c r="E9" s="14"/>
      <c r="F9" s="14">
        <f>13199.54*2</f>
        <v>26399.08</v>
      </c>
      <c r="G9" s="14">
        <f>1096*2</f>
        <v>2192</v>
      </c>
      <c r="H9" s="40">
        <f>F9/30.4*40</f>
        <v>34735.631578947374</v>
      </c>
      <c r="I9" s="40">
        <v>6703.34</v>
      </c>
      <c r="J9" s="14"/>
      <c r="K9" s="48"/>
      <c r="L9" s="48"/>
      <c r="M9" s="14">
        <v>2219.0700000000002</v>
      </c>
      <c r="N9" s="15">
        <f>+((F9+G9)/2)-M9</f>
        <v>12076.470000000001</v>
      </c>
    </row>
    <row r="10" spans="1:15" ht="21" customHeight="1" thickBot="1">
      <c r="A10" s="16" t="s">
        <v>58</v>
      </c>
      <c r="B10" s="85" t="s">
        <v>54</v>
      </c>
      <c r="C10" s="18" t="s">
        <v>23</v>
      </c>
      <c r="D10" s="93">
        <v>45536</v>
      </c>
      <c r="E10" s="19">
        <f>4537.16*2</f>
        <v>9074.32</v>
      </c>
      <c r="F10" s="19"/>
      <c r="G10" s="19"/>
      <c r="H10" s="19"/>
      <c r="I10" s="19"/>
      <c r="J10" s="19"/>
      <c r="K10" s="19"/>
      <c r="L10" s="14"/>
      <c r="M10" s="15">
        <v>337.16</v>
      </c>
      <c r="N10" s="15">
        <f>+(E10/2)-M10</f>
        <v>4200</v>
      </c>
    </row>
    <row r="11" spans="1:15" s="199" customFormat="1" ht="21" customHeight="1" thickBot="1">
      <c r="A11" s="238" t="s">
        <v>59</v>
      </c>
      <c r="B11" s="189" t="s">
        <v>60</v>
      </c>
      <c r="C11" s="156" t="s">
        <v>19</v>
      </c>
      <c r="D11" s="239">
        <v>45658</v>
      </c>
      <c r="E11" s="158">
        <f>3751.28*2</f>
        <v>7502.56</v>
      </c>
      <c r="F11" s="170"/>
      <c r="G11" s="159"/>
      <c r="H11" s="158">
        <f>E11/30.4*40</f>
        <v>9871.7894736842118</v>
      </c>
      <c r="I11" s="159">
        <v>330.25</v>
      </c>
      <c r="J11" s="158">
        <f>E11/30.4*20*0.25</f>
        <v>1233.9736842105265</v>
      </c>
      <c r="K11" s="174"/>
      <c r="L11" s="158"/>
      <c r="M11" s="237">
        <v>251.28</v>
      </c>
      <c r="N11" s="128">
        <f>+(E11/2)-M11</f>
        <v>3500</v>
      </c>
    </row>
    <row r="12" spans="1:15" ht="23.25">
      <c r="A12" s="315" t="s">
        <v>61</v>
      </c>
      <c r="B12" s="243" t="s">
        <v>62</v>
      </c>
      <c r="C12" s="21" t="s">
        <v>19</v>
      </c>
      <c r="D12" s="316">
        <v>45659</v>
      </c>
      <c r="E12" s="79">
        <f>5200.17*2</f>
        <v>10400.34</v>
      </c>
      <c r="F12" s="79"/>
      <c r="G12" s="80"/>
      <c r="H12" s="79">
        <f>E12/30.4*40</f>
        <v>13684.657894736843</v>
      </c>
      <c r="I12" s="81">
        <v>1138.3800000000001</v>
      </c>
      <c r="J12" s="81">
        <f>E12/30.4*20*0.25</f>
        <v>1710.5822368421054</v>
      </c>
      <c r="K12" s="81"/>
      <c r="L12" s="82"/>
      <c r="M12" s="79">
        <v>407.14</v>
      </c>
      <c r="N12" s="216">
        <f t="shared" ref="N12" si="0">+(E12/2)-M12</f>
        <v>4793.03</v>
      </c>
    </row>
    <row r="13" spans="1:15" ht="34.5">
      <c r="A13" s="317" t="s">
        <v>63</v>
      </c>
      <c r="B13" s="318" t="s">
        <v>256</v>
      </c>
      <c r="C13" s="219" t="s">
        <v>19</v>
      </c>
      <c r="D13" s="319">
        <v>46023</v>
      </c>
      <c r="E13" s="215">
        <f>5200.17*2</f>
        <v>10400.34</v>
      </c>
      <c r="F13" s="215"/>
      <c r="G13" s="225"/>
      <c r="H13" s="215">
        <f>E13/30.4*40</f>
        <v>13684.657894736843</v>
      </c>
      <c r="I13" s="226">
        <v>1139.3800000000001</v>
      </c>
      <c r="J13" s="226">
        <f>E13/30.4*20*0.25</f>
        <v>1710.5822368421054</v>
      </c>
      <c r="K13" s="226"/>
      <c r="L13" s="221"/>
      <c r="M13" s="215">
        <v>408.14</v>
      </c>
      <c r="N13" s="221">
        <f t="shared" ref="N13" si="1">+(E13/2)-M13</f>
        <v>4792.03</v>
      </c>
    </row>
    <row r="14" spans="1:15" s="306" customFormat="1" ht="34.5">
      <c r="A14" s="317" t="s">
        <v>63</v>
      </c>
      <c r="B14" s="318" t="s">
        <v>281</v>
      </c>
      <c r="C14" s="219" t="s">
        <v>19</v>
      </c>
      <c r="D14" s="319">
        <v>46023</v>
      </c>
      <c r="E14" s="215">
        <v>15635.83</v>
      </c>
      <c r="F14" s="215"/>
      <c r="G14" s="225"/>
      <c r="H14" s="215"/>
      <c r="I14" s="226"/>
      <c r="J14" s="226"/>
      <c r="K14" s="215">
        <v>2501.73</v>
      </c>
      <c r="M14" s="215">
        <v>195.45</v>
      </c>
      <c r="N14" s="221">
        <v>12938.65</v>
      </c>
      <c r="O14" s="320"/>
    </row>
    <row r="15" spans="1:15">
      <c r="A15" s="86"/>
      <c r="B15" s="87"/>
      <c r="C15" s="73"/>
      <c r="D15" s="88"/>
      <c r="E15" s="89"/>
      <c r="F15" s="90"/>
      <c r="G15" s="90"/>
      <c r="H15" s="90"/>
      <c r="I15" s="89"/>
      <c r="J15" s="91"/>
      <c r="K15" s="91"/>
      <c r="L15" s="91"/>
      <c r="M15" s="89"/>
      <c r="N15" s="92"/>
    </row>
    <row r="16" spans="1:15" ht="26.25" thickBot="1">
      <c r="A16" s="2"/>
      <c r="B16" s="2"/>
      <c r="C16" s="26"/>
      <c r="D16" s="45" t="s">
        <v>28</v>
      </c>
      <c r="E16" s="30">
        <f>SUM(E10:E14)</f>
        <v>53013.39</v>
      </c>
      <c r="F16" s="30">
        <f>+F9</f>
        <v>26399.08</v>
      </c>
      <c r="G16" s="30">
        <f>SUM(G9:G13)</f>
        <v>2192</v>
      </c>
      <c r="H16" s="30">
        <f>+H17/12</f>
        <v>5998.0614035087719</v>
      </c>
      <c r="I16" s="30">
        <f>+I17/12</f>
        <v>775.94583333333333</v>
      </c>
      <c r="J16" s="30">
        <f>+J17/2</f>
        <v>2327.5690789473683</v>
      </c>
      <c r="K16" s="30">
        <f>SUM(K9:K14)</f>
        <v>2501.73</v>
      </c>
      <c r="L16" s="30">
        <f>SUM(L9:L13)</f>
        <v>0</v>
      </c>
      <c r="M16" s="30">
        <f>SUM(M9:M14)</f>
        <v>3818.24</v>
      </c>
      <c r="N16" s="30">
        <f>SUM(N9:N14)*2</f>
        <v>84600.36</v>
      </c>
    </row>
    <row r="17" spans="1:14" ht="26.25" thickBot="1">
      <c r="A17" s="2"/>
      <c r="B17" s="2"/>
      <c r="C17" s="2"/>
      <c r="D17" s="29" t="s">
        <v>29</v>
      </c>
      <c r="E17" s="30">
        <f>+E16*12</f>
        <v>636160.67999999993</v>
      </c>
      <c r="F17" s="30">
        <f>+F16*12</f>
        <v>316788.96000000002</v>
      </c>
      <c r="G17" s="30">
        <f>+G16*12</f>
        <v>26304</v>
      </c>
      <c r="H17" s="30">
        <f>SUM(H9:H13)</f>
        <v>71976.736842105267</v>
      </c>
      <c r="I17" s="30">
        <f>SUM(I9:I13)</f>
        <v>9311.35</v>
      </c>
      <c r="J17" s="30">
        <f>SUM(J9:J13)</f>
        <v>4655.1381578947367</v>
      </c>
      <c r="K17" s="30">
        <f>+K16*12</f>
        <v>30020.760000000002</v>
      </c>
      <c r="L17" s="30">
        <f>+L16*12</f>
        <v>0</v>
      </c>
      <c r="M17" s="30">
        <f>+M16*12</f>
        <v>45818.879999999997</v>
      </c>
      <c r="N17" s="30">
        <f>+N16*12</f>
        <v>1015204.3200000001</v>
      </c>
    </row>
    <row r="18" spans="1:14">
      <c r="A18" s="31" t="s">
        <v>30</v>
      </c>
      <c r="B18" s="2"/>
      <c r="C18" s="2"/>
      <c r="D18" s="2"/>
      <c r="E18" s="3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s="31" t="s">
        <v>31</v>
      </c>
      <c r="B19" s="2"/>
      <c r="C19" s="2"/>
      <c r="D19" s="2"/>
      <c r="E19" s="32"/>
      <c r="F19" s="32"/>
      <c r="G19" s="2"/>
      <c r="H19" s="2"/>
      <c r="I19" s="2"/>
      <c r="J19" s="2"/>
      <c r="K19" s="2"/>
      <c r="L19" s="2"/>
      <c r="M19" s="2"/>
      <c r="N19" s="2"/>
    </row>
    <row r="20" spans="1:14">
      <c r="A20" s="31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31" t="s">
        <v>33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>
      <c r="A22" s="31" t="s">
        <v>34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5" spans="1:14">
      <c r="E25" s="299"/>
    </row>
    <row r="27" spans="1:14">
      <c r="E27" s="299"/>
    </row>
  </sheetData>
  <mergeCells count="17">
    <mergeCell ref="M6:M7"/>
    <mergeCell ref="A1:N1"/>
    <mergeCell ref="J3:N3"/>
    <mergeCell ref="A4:D4"/>
    <mergeCell ref="A6:A7"/>
    <mergeCell ref="B6:B7"/>
    <mergeCell ref="C6:C7"/>
    <mergeCell ref="D6:D7"/>
    <mergeCell ref="E6:E7"/>
    <mergeCell ref="F6:F7"/>
    <mergeCell ref="G6:G7"/>
    <mergeCell ref="N6:N7"/>
    <mergeCell ref="H6:H7"/>
    <mergeCell ref="I6:I7"/>
    <mergeCell ref="J6:J7"/>
    <mergeCell ref="K6:K7"/>
    <mergeCell ref="L6:L7"/>
  </mergeCells>
  <pageMargins left="0.31496062992125984" right="0.51181102362204722" top="0.74803149606299213" bottom="0.55118110236220474" header="0.31496062992125984" footer="0.31496062992125984"/>
  <pageSetup paperSize="30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70" zoomScaleNormal="70" workbookViewId="0">
      <selection activeCell="H52" sqref="H52"/>
    </sheetView>
  </sheetViews>
  <sheetFormatPr baseColWidth="10" defaultRowHeight="15"/>
  <cols>
    <col min="1" max="1" width="29" customWidth="1"/>
    <col min="2" max="2" width="19.5703125" customWidth="1"/>
    <col min="5" max="5" width="16.5703125" customWidth="1"/>
    <col min="6" max="6" width="16.140625" customWidth="1"/>
    <col min="7" max="7" width="13.85546875" customWidth="1"/>
    <col min="8" max="8" width="14.85546875" customWidth="1"/>
    <col min="9" max="9" width="14.7109375" customWidth="1"/>
    <col min="11" max="11" width="13.42578125" customWidth="1"/>
    <col min="12" max="12" width="16.5703125" customWidth="1"/>
    <col min="13" max="13" width="17.140625" customWidth="1"/>
  </cols>
  <sheetData>
    <row r="1" spans="1:13" ht="15.75">
      <c r="A1" s="336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1</v>
      </c>
      <c r="B3" s="4"/>
      <c r="C3" s="5"/>
      <c r="D3" s="4"/>
      <c r="E3" s="4"/>
      <c r="F3" s="4"/>
      <c r="G3" s="4"/>
      <c r="H3" s="4"/>
      <c r="I3" s="338" t="s">
        <v>35</v>
      </c>
      <c r="J3" s="339"/>
      <c r="K3" s="339"/>
      <c r="L3" s="339"/>
      <c r="M3" s="340"/>
    </row>
    <row r="4" spans="1:13" ht="15.75" thickBot="1">
      <c r="A4" s="341" t="s">
        <v>64</v>
      </c>
      <c r="B4" s="342"/>
      <c r="C4" s="342"/>
      <c r="D4" s="342"/>
      <c r="E4" s="7"/>
      <c r="F4" s="7"/>
      <c r="G4" s="7"/>
      <c r="H4" s="7"/>
      <c r="I4" s="7"/>
      <c r="J4" s="7"/>
      <c r="K4" s="7"/>
      <c r="L4" s="7"/>
      <c r="M4" s="8"/>
    </row>
    <row r="5" spans="1:13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43" t="s">
        <v>4</v>
      </c>
      <c r="B6" s="345" t="s">
        <v>5</v>
      </c>
      <c r="C6" s="345" t="s">
        <v>6</v>
      </c>
      <c r="D6" s="345" t="s">
        <v>7</v>
      </c>
      <c r="E6" s="345" t="s">
        <v>8</v>
      </c>
      <c r="F6" s="345" t="s">
        <v>65</v>
      </c>
      <c r="G6" s="345" t="s">
        <v>10</v>
      </c>
      <c r="H6" s="345" t="s">
        <v>11</v>
      </c>
      <c r="I6" s="345" t="s">
        <v>12</v>
      </c>
      <c r="J6" s="345" t="s">
        <v>13</v>
      </c>
      <c r="K6" s="345" t="s">
        <v>14</v>
      </c>
      <c r="L6" s="345" t="s">
        <v>15</v>
      </c>
      <c r="M6" s="334" t="s">
        <v>16</v>
      </c>
    </row>
    <row r="7" spans="1:13" ht="15.75" thickBot="1">
      <c r="A7" s="344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35"/>
    </row>
    <row r="8" spans="1:13" ht="15.75" thickBot="1">
      <c r="A8" s="2"/>
      <c r="B8" s="2"/>
      <c r="C8" s="9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5.75" thickBot="1">
      <c r="A9" s="17" t="s">
        <v>66</v>
      </c>
      <c r="B9" s="17" t="s">
        <v>67</v>
      </c>
      <c r="C9" s="18" t="s">
        <v>19</v>
      </c>
      <c r="D9" s="94">
        <v>45536</v>
      </c>
      <c r="E9" s="19">
        <f>16148.93*2</f>
        <v>32297.86</v>
      </c>
      <c r="F9" s="38">
        <f>9214.88/2</f>
        <v>4607.4399999999996</v>
      </c>
      <c r="G9" s="19">
        <f t="shared" ref="G9:G17" si="0">E9/30.4*40</f>
        <v>42497.18421052632</v>
      </c>
      <c r="H9" s="19">
        <v>9479.4699999999993</v>
      </c>
      <c r="I9" s="19">
        <f t="shared" ref="I9:I17" si="1">E9/30.4*20*0.25</f>
        <v>5312.14802631579</v>
      </c>
      <c r="J9" s="38">
        <v>0</v>
      </c>
      <c r="K9" s="19">
        <v>589.5</v>
      </c>
      <c r="L9" s="14">
        <v>2626.24</v>
      </c>
      <c r="M9" s="15">
        <f t="shared" ref="M9:M15" si="2">+(E9/2)-K9-L9</f>
        <v>12933.19</v>
      </c>
    </row>
    <row r="10" spans="1:13" ht="15.75" thickBot="1">
      <c r="A10" s="17" t="s">
        <v>68</v>
      </c>
      <c r="B10" s="17" t="s">
        <v>69</v>
      </c>
      <c r="C10" s="18" t="s">
        <v>23</v>
      </c>
      <c r="D10" s="94">
        <v>45536</v>
      </c>
      <c r="E10" s="19">
        <v>12775.36</v>
      </c>
      <c r="F10" s="38">
        <f>2481.65/2</f>
        <v>1240.825</v>
      </c>
      <c r="G10" s="19">
        <f t="shared" si="0"/>
        <v>16809.684210526317</v>
      </c>
      <c r="H10" s="19">
        <v>1258.5</v>
      </c>
      <c r="I10" s="19">
        <f t="shared" si="1"/>
        <v>2101.2105263157896</v>
      </c>
      <c r="J10" s="38"/>
      <c r="K10" s="19"/>
      <c r="L10" s="19">
        <f>1156.56/2</f>
        <v>578.28</v>
      </c>
      <c r="M10" s="15">
        <f t="shared" si="2"/>
        <v>5809.4000000000005</v>
      </c>
    </row>
    <row r="11" spans="1:13" ht="15.75" thickBot="1">
      <c r="A11" s="17" t="s">
        <v>70</v>
      </c>
      <c r="B11" s="17" t="s">
        <v>69</v>
      </c>
      <c r="C11" s="18" t="s">
        <v>23</v>
      </c>
      <c r="D11" s="94">
        <v>45536</v>
      </c>
      <c r="E11" s="19">
        <v>12775.36</v>
      </c>
      <c r="F11" s="38">
        <f>2481.65/2</f>
        <v>1240.825</v>
      </c>
      <c r="G11" s="19">
        <f t="shared" si="0"/>
        <v>16809.684210526317</v>
      </c>
      <c r="H11" s="19">
        <v>1258.5</v>
      </c>
      <c r="I11" s="19">
        <f t="shared" si="1"/>
        <v>2101.2105263157896</v>
      </c>
      <c r="J11" s="38"/>
      <c r="K11" s="19">
        <v>234.59</v>
      </c>
      <c r="L11" s="19">
        <v>578.28</v>
      </c>
      <c r="M11" s="15">
        <f t="shared" si="2"/>
        <v>5574.81</v>
      </c>
    </row>
    <row r="12" spans="1:13" ht="15.75" thickBot="1">
      <c r="A12" s="17" t="s">
        <v>63</v>
      </c>
      <c r="B12" s="17" t="s">
        <v>71</v>
      </c>
      <c r="C12" s="18" t="s">
        <v>23</v>
      </c>
      <c r="D12" s="94">
        <v>46023</v>
      </c>
      <c r="E12" s="19">
        <v>10195.84</v>
      </c>
      <c r="F12" s="38" t="s">
        <v>78</v>
      </c>
      <c r="G12" s="19">
        <f t="shared" si="0"/>
        <v>13415.578947368422</v>
      </c>
      <c r="H12" s="19">
        <v>1259.5</v>
      </c>
      <c r="I12" s="19">
        <f t="shared" si="1"/>
        <v>1676.9473684210527</v>
      </c>
      <c r="J12" s="38"/>
      <c r="K12" s="19"/>
      <c r="L12" s="19">
        <v>396.31</v>
      </c>
      <c r="M12" s="15">
        <f t="shared" si="2"/>
        <v>4701.6099999999997</v>
      </c>
    </row>
    <row r="13" spans="1:13" ht="15.75" thickBot="1">
      <c r="A13" s="53" t="s">
        <v>63</v>
      </c>
      <c r="B13" s="17" t="s">
        <v>72</v>
      </c>
      <c r="C13" s="18" t="s">
        <v>23</v>
      </c>
      <c r="D13" s="94">
        <v>45536</v>
      </c>
      <c r="E13" s="19">
        <v>10425.5</v>
      </c>
      <c r="F13" s="38">
        <v>1096</v>
      </c>
      <c r="G13" s="19">
        <f t="shared" si="0"/>
        <v>13717.763157894737</v>
      </c>
      <c r="H13" s="19">
        <v>917.37</v>
      </c>
      <c r="I13" s="19">
        <f t="shared" si="1"/>
        <v>1714.7203947368421</v>
      </c>
      <c r="J13" s="38"/>
      <c r="K13" s="19"/>
      <c r="L13" s="19">
        <v>408.57</v>
      </c>
      <c r="M13" s="15">
        <f t="shared" si="2"/>
        <v>4804.18</v>
      </c>
    </row>
    <row r="14" spans="1:13" ht="15.75" thickBot="1">
      <c r="A14" s="17" t="s">
        <v>73</v>
      </c>
      <c r="B14" s="95" t="s">
        <v>74</v>
      </c>
      <c r="C14" s="18" t="s">
        <v>19</v>
      </c>
      <c r="D14" s="94">
        <v>45536</v>
      </c>
      <c r="E14" s="19">
        <f>7249.99*2</f>
        <v>14499.98</v>
      </c>
      <c r="F14" s="38">
        <f>3792.65/2</f>
        <v>1896.325</v>
      </c>
      <c r="G14" s="19">
        <f t="shared" si="0"/>
        <v>19078.92105263158</v>
      </c>
      <c r="H14" s="19">
        <v>1606.68</v>
      </c>
      <c r="I14" s="19">
        <f t="shared" si="1"/>
        <v>2384.8651315789475</v>
      </c>
      <c r="J14" s="38"/>
      <c r="K14" s="19">
        <v>264.31</v>
      </c>
      <c r="L14" s="19">
        <v>739.05</v>
      </c>
      <c r="M14" s="15">
        <f t="shared" si="2"/>
        <v>6246.6299999999992</v>
      </c>
    </row>
    <row r="15" spans="1:13" ht="15.75" thickBot="1">
      <c r="A15" s="17" t="s">
        <v>75</v>
      </c>
      <c r="B15" s="95" t="s">
        <v>69</v>
      </c>
      <c r="C15" s="18" t="s">
        <v>23</v>
      </c>
      <c r="D15" s="94">
        <v>45536</v>
      </c>
      <c r="E15" s="19">
        <v>12775.36</v>
      </c>
      <c r="F15" s="38">
        <f>2481.65/2</f>
        <v>1240.825</v>
      </c>
      <c r="G15" s="38">
        <f t="shared" si="0"/>
        <v>16809.684210526317</v>
      </c>
      <c r="H15" s="19">
        <v>557.78</v>
      </c>
      <c r="I15" s="38">
        <f t="shared" si="1"/>
        <v>2101.2105263157896</v>
      </c>
      <c r="J15" s="19"/>
      <c r="K15" s="19">
        <v>234.59</v>
      </c>
      <c r="L15" s="19">
        <v>578.28</v>
      </c>
      <c r="M15" s="15">
        <f t="shared" si="2"/>
        <v>5574.81</v>
      </c>
    </row>
    <row r="16" spans="1:13" s="199" customFormat="1" ht="15.75" thickBot="1">
      <c r="A16" s="201" t="s">
        <v>63</v>
      </c>
      <c r="B16" s="230" t="s">
        <v>76</v>
      </c>
      <c r="C16" s="156"/>
      <c r="D16" s="240"/>
      <c r="E16" s="158">
        <v>6500</v>
      </c>
      <c r="F16" s="159"/>
      <c r="G16" s="159">
        <f t="shared" si="0"/>
        <v>8552.6315789473683</v>
      </c>
      <c r="H16" s="158">
        <v>1003.35</v>
      </c>
      <c r="I16" s="159">
        <f t="shared" si="1"/>
        <v>1069.078947368421</v>
      </c>
      <c r="J16" s="158"/>
      <c r="K16" s="174"/>
      <c r="L16" s="158">
        <v>197.12</v>
      </c>
      <c r="M16" s="128">
        <f>+(E16/2)-K16-L16</f>
        <v>3052.88</v>
      </c>
    </row>
    <row r="17" spans="1:13">
      <c r="A17" s="17" t="s">
        <v>77</v>
      </c>
      <c r="B17" s="17" t="s">
        <v>72</v>
      </c>
      <c r="C17" s="18" t="s">
        <v>23</v>
      </c>
      <c r="D17" s="94">
        <v>45536</v>
      </c>
      <c r="E17" s="19">
        <v>10426.5</v>
      </c>
      <c r="F17" s="38">
        <f>2385.4/2</f>
        <v>1192.7</v>
      </c>
      <c r="G17" s="19">
        <f t="shared" si="0"/>
        <v>13719.07894736842</v>
      </c>
      <c r="H17" s="19">
        <v>917.37</v>
      </c>
      <c r="I17" s="19">
        <f t="shared" si="1"/>
        <v>1714.8848684210525</v>
      </c>
      <c r="J17" s="38"/>
      <c r="K17" s="19"/>
      <c r="L17" s="19">
        <v>408.57</v>
      </c>
      <c r="M17" s="15">
        <f>+(E17/2)-K17-L17</f>
        <v>4804.68</v>
      </c>
    </row>
    <row r="18" spans="1:13">
      <c r="A18" s="53"/>
      <c r="B18" s="53"/>
      <c r="C18" s="54"/>
      <c r="D18" s="97"/>
      <c r="E18" s="98"/>
      <c r="F18" s="99"/>
      <c r="G18" s="98"/>
      <c r="H18" s="98"/>
      <c r="I18" s="98"/>
      <c r="J18" s="99"/>
      <c r="K18" s="98"/>
      <c r="L18" s="98"/>
      <c r="M18" s="100"/>
    </row>
    <row r="19" spans="1:13" ht="25.5">
      <c r="A19" s="2"/>
      <c r="B19" s="2"/>
      <c r="C19" s="26"/>
      <c r="D19" s="45" t="s">
        <v>28</v>
      </c>
      <c r="E19" s="46">
        <f>SUM(E9:E17)</f>
        <v>122671.76</v>
      </c>
      <c r="F19" s="46">
        <f>SUM(F9:F17)*2</f>
        <v>25029.88</v>
      </c>
      <c r="G19" s="46">
        <f>G20/12</f>
        <v>13450.850877192985</v>
      </c>
      <c r="H19" s="46">
        <f>(SUM(H9:H17)/12)</f>
        <v>1521.5433333333333</v>
      </c>
      <c r="I19" s="46">
        <f>+I20/2</f>
        <v>10088.138157894738</v>
      </c>
      <c r="J19" s="46">
        <f>SUM(J9:J17)</f>
        <v>0</v>
      </c>
      <c r="K19" s="46">
        <f>SUM(K9:K18)*2</f>
        <v>2645.98</v>
      </c>
      <c r="L19" s="46">
        <f>SUM(L9:L17)*2</f>
        <v>13021.399999999998</v>
      </c>
      <c r="M19" s="46">
        <f>+SUM(M9:M17)*2</f>
        <v>107004.37999999999</v>
      </c>
    </row>
    <row r="20" spans="1:13" ht="26.25" thickBot="1">
      <c r="A20" s="2"/>
      <c r="B20" s="2"/>
      <c r="C20" s="2"/>
      <c r="D20" s="29" t="s">
        <v>29</v>
      </c>
      <c r="E20" s="30">
        <f>+E19*12</f>
        <v>1472061.1199999999</v>
      </c>
      <c r="F20" s="30">
        <f>+F19*12</f>
        <v>300358.56</v>
      </c>
      <c r="G20" s="30">
        <f>SUM(G9:G17)</f>
        <v>161410.21052631582</v>
      </c>
      <c r="H20" s="30">
        <f>SUM(H9:H17)</f>
        <v>18258.52</v>
      </c>
      <c r="I20" s="30">
        <f>SUM(I9:I17)</f>
        <v>20176.276315789477</v>
      </c>
      <c r="J20" s="30">
        <f>+J19*12</f>
        <v>0</v>
      </c>
      <c r="K20" s="30">
        <f>+K19*12</f>
        <v>31751.760000000002</v>
      </c>
      <c r="L20" s="30">
        <f>+L19*12</f>
        <v>156256.79999999999</v>
      </c>
      <c r="M20" s="46">
        <f>+M19*12</f>
        <v>1284052.5599999998</v>
      </c>
    </row>
    <row r="21" spans="1:13">
      <c r="A21" s="31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31" t="s">
        <v>31</v>
      </c>
      <c r="B22" s="2"/>
      <c r="C22" s="2"/>
      <c r="D22" s="2"/>
      <c r="E22" s="101"/>
      <c r="F22" s="2"/>
      <c r="G22" s="2"/>
      <c r="H22" s="2"/>
      <c r="I22" s="2"/>
      <c r="J22" s="2"/>
      <c r="K22" s="2"/>
      <c r="L22" s="32"/>
      <c r="M22" s="2"/>
    </row>
    <row r="23" spans="1:13">
      <c r="A23" s="31" t="s">
        <v>32</v>
      </c>
      <c r="B23" s="2"/>
      <c r="C23" s="2"/>
      <c r="D23" s="2"/>
      <c r="E23" s="102"/>
      <c r="F23" s="2"/>
      <c r="G23" s="2"/>
      <c r="H23" s="2"/>
      <c r="I23" s="2"/>
      <c r="J23" s="2"/>
      <c r="K23" s="2"/>
      <c r="L23" s="2"/>
      <c r="M23" s="2"/>
    </row>
    <row r="24" spans="1:13">
      <c r="A24" s="31" t="s">
        <v>33</v>
      </c>
      <c r="B24" s="2"/>
      <c r="C24" s="2"/>
      <c r="D24" s="2"/>
      <c r="E24" s="32"/>
      <c r="F24" s="2"/>
      <c r="G24" s="2"/>
      <c r="H24" s="2"/>
      <c r="I24" s="2"/>
      <c r="J24" s="2"/>
      <c r="K24" s="2"/>
      <c r="L24" s="32"/>
      <c r="M24" s="2"/>
    </row>
    <row r="25" spans="1:13">
      <c r="A25" s="31" t="s">
        <v>34</v>
      </c>
      <c r="B25" s="2"/>
      <c r="C25" s="2"/>
      <c r="D25" s="2"/>
      <c r="E25" s="32"/>
      <c r="F25" s="2"/>
      <c r="G25" s="2"/>
      <c r="H25" s="2"/>
      <c r="I25" s="2"/>
      <c r="J25" s="2"/>
      <c r="K25" s="2"/>
      <c r="L25" s="2"/>
      <c r="M25" s="2"/>
    </row>
  </sheetData>
  <mergeCells count="16">
    <mergeCell ref="M6:M7"/>
    <mergeCell ref="A1:M1"/>
    <mergeCell ref="I3:M3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25" right="0.25" top="0.75" bottom="0.75" header="0.3" footer="0.3"/>
  <pageSetup paperSize="30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F25" sqref="F24:F25"/>
    </sheetView>
  </sheetViews>
  <sheetFormatPr baseColWidth="10" defaultRowHeight="15"/>
  <cols>
    <col min="1" max="1" width="28.85546875" style="222" customWidth="1"/>
    <col min="2" max="2" width="22" bestFit="1" customWidth="1"/>
    <col min="5" max="5" width="14.42578125" customWidth="1"/>
    <col min="7" max="7" width="12.85546875" customWidth="1"/>
    <col min="9" max="9" width="12.85546875" customWidth="1"/>
    <col min="12" max="12" width="12.140625" bestFit="1" customWidth="1"/>
    <col min="13" max="13" width="13.28515625" bestFit="1" customWidth="1"/>
  </cols>
  <sheetData>
    <row r="1" spans="1:13" ht="15.75">
      <c r="A1" s="336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15.75" thickBot="1"/>
    <row r="3" spans="1:13">
      <c r="A3" s="223" t="s">
        <v>79</v>
      </c>
      <c r="B3" s="4"/>
      <c r="C3" s="5"/>
      <c r="D3" s="4"/>
      <c r="E3" s="4"/>
      <c r="F3" s="4"/>
      <c r="G3" s="4"/>
      <c r="H3" s="4"/>
      <c r="I3" s="338" t="s">
        <v>35</v>
      </c>
      <c r="J3" s="339"/>
      <c r="K3" s="339"/>
      <c r="L3" s="339"/>
      <c r="M3" s="340"/>
    </row>
    <row r="4" spans="1:13" ht="15.75" thickBot="1">
      <c r="A4" s="341" t="s">
        <v>80</v>
      </c>
      <c r="B4" s="342"/>
      <c r="C4" s="342"/>
      <c r="D4" s="342"/>
      <c r="E4" s="7"/>
      <c r="F4" s="7"/>
      <c r="G4" s="7"/>
      <c r="H4" s="7"/>
      <c r="I4" s="7"/>
      <c r="J4" s="7"/>
      <c r="K4" s="7"/>
      <c r="L4" s="7"/>
      <c r="M4" s="8"/>
    </row>
    <row r="5" spans="1:13" ht="15.75" thickBot="1">
      <c r="A5" s="10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47" t="s">
        <v>4</v>
      </c>
      <c r="B6" s="345" t="s">
        <v>5</v>
      </c>
      <c r="C6" s="345" t="s">
        <v>6</v>
      </c>
      <c r="D6" s="345" t="s">
        <v>7</v>
      </c>
      <c r="E6" s="345" t="s">
        <v>8</v>
      </c>
      <c r="F6" s="345" t="s">
        <v>65</v>
      </c>
      <c r="G6" s="345" t="s">
        <v>10</v>
      </c>
      <c r="H6" s="345" t="s">
        <v>11</v>
      </c>
      <c r="I6" s="345" t="s">
        <v>12</v>
      </c>
      <c r="J6" s="345" t="s">
        <v>13</v>
      </c>
      <c r="K6" s="345" t="s">
        <v>14</v>
      </c>
      <c r="L6" s="345" t="s">
        <v>15</v>
      </c>
      <c r="M6" s="334" t="s">
        <v>81</v>
      </c>
    </row>
    <row r="7" spans="1:13" ht="15.75" thickBot="1">
      <c r="A7" s="348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35"/>
    </row>
    <row r="8" spans="1:13" ht="15.75" thickBot="1">
      <c r="A8" s="103"/>
      <c r="B8" s="104"/>
      <c r="C8" s="9"/>
      <c r="M8" s="14"/>
    </row>
    <row r="9" spans="1:13" ht="15.75" thickBot="1">
      <c r="A9" s="36" t="s">
        <v>82</v>
      </c>
      <c r="B9" s="12" t="s">
        <v>83</v>
      </c>
      <c r="C9" s="12" t="s">
        <v>19</v>
      </c>
      <c r="D9" s="47">
        <v>45658</v>
      </c>
      <c r="E9" s="105">
        <v>20000</v>
      </c>
      <c r="F9" s="40"/>
      <c r="G9" s="40">
        <f>E9/30.4*40</f>
        <v>26315.789473684214</v>
      </c>
      <c r="H9" s="40">
        <v>3899.05</v>
      </c>
      <c r="I9" s="40">
        <f>E9/30.4*20*0.25</f>
        <v>3289.4736842105267</v>
      </c>
      <c r="J9" s="105"/>
      <c r="K9" s="40"/>
      <c r="L9" s="14">
        <v>1301.31</v>
      </c>
      <c r="M9" s="15">
        <f>+(E9/2)-L9</f>
        <v>8698.69</v>
      </c>
    </row>
    <row r="10" spans="1:13">
      <c r="A10" s="307" t="s">
        <v>84</v>
      </c>
      <c r="B10" s="308" t="s">
        <v>85</v>
      </c>
      <c r="C10" s="308" t="s">
        <v>19</v>
      </c>
      <c r="D10" s="309">
        <v>45665</v>
      </c>
      <c r="E10" s="310">
        <v>10152.44</v>
      </c>
      <c r="F10" s="311"/>
      <c r="G10" s="311">
        <f>E10/30.4*40</f>
        <v>13358.473684210529</v>
      </c>
      <c r="H10" s="311">
        <v>1251.3599999999999</v>
      </c>
      <c r="I10" s="311">
        <f>E10/30.4*20*0.25</f>
        <v>1669.8092105263161</v>
      </c>
      <c r="J10" s="81"/>
      <c r="K10" s="81"/>
      <c r="L10" s="79">
        <v>395.81</v>
      </c>
      <c r="M10" s="216">
        <f t="shared" ref="M10:M11" si="0">+(E10/2)-L10</f>
        <v>4680.41</v>
      </c>
    </row>
    <row r="11" spans="1:13">
      <c r="A11" s="218" t="s">
        <v>88</v>
      </c>
      <c r="B11" s="219" t="s">
        <v>86</v>
      </c>
      <c r="C11" s="219" t="s">
        <v>19</v>
      </c>
      <c r="D11" s="313">
        <v>45946</v>
      </c>
      <c r="E11" s="314">
        <v>10152.44</v>
      </c>
      <c r="F11" s="226"/>
      <c r="G11" s="226">
        <f>E11/30.4*40</f>
        <v>13358.473684210529</v>
      </c>
      <c r="H11" s="226">
        <v>1251.3599999999999</v>
      </c>
      <c r="I11" s="226">
        <f>E11/30.4*20*0.25</f>
        <v>1669.8092105263161</v>
      </c>
      <c r="J11" s="226"/>
      <c r="K11" s="226"/>
      <c r="L11" s="215">
        <v>395.81</v>
      </c>
      <c r="M11" s="221">
        <f t="shared" si="0"/>
        <v>4680.41</v>
      </c>
    </row>
    <row r="12" spans="1:13">
      <c r="A12" s="218" t="s">
        <v>63</v>
      </c>
      <c r="B12" s="219" t="s">
        <v>87</v>
      </c>
      <c r="C12" s="219" t="s">
        <v>19</v>
      </c>
      <c r="D12" s="313">
        <v>46023</v>
      </c>
      <c r="E12" s="314">
        <v>10992.06</v>
      </c>
      <c r="F12" s="226"/>
      <c r="G12" s="226">
        <f>E12/30.4*40</f>
        <v>14463.236842105263</v>
      </c>
      <c r="H12" s="226">
        <v>1258.5</v>
      </c>
      <c r="I12" s="226">
        <f>E12/30.4*20*0.25</f>
        <v>1807.9046052631579</v>
      </c>
      <c r="J12" s="226"/>
      <c r="K12" s="226"/>
      <c r="L12" s="215">
        <v>330.4</v>
      </c>
      <c r="M12" s="221">
        <f>+(E12/2)-L12-K12</f>
        <v>5165.63</v>
      </c>
    </row>
    <row r="13" spans="1:13" s="305" customFormat="1">
      <c r="A13" s="218" t="s">
        <v>63</v>
      </c>
      <c r="B13" s="219" t="s">
        <v>268</v>
      </c>
      <c r="C13" s="219" t="s">
        <v>19</v>
      </c>
      <c r="D13" s="313">
        <v>46023</v>
      </c>
      <c r="E13" s="314">
        <v>10152.44</v>
      </c>
      <c r="F13" s="226"/>
      <c r="G13" s="226">
        <f>E13/30.4*40</f>
        <v>13358.473684210529</v>
      </c>
      <c r="H13" s="226">
        <v>1251.3599999999999</v>
      </c>
      <c r="I13" s="226">
        <f>E13/30.4*20*0.25</f>
        <v>1669.8092105263161</v>
      </c>
      <c r="J13" s="226"/>
      <c r="K13" s="226"/>
      <c r="L13" s="215">
        <v>395.81</v>
      </c>
      <c r="M13" s="221">
        <f t="shared" ref="M13" si="1">+(E13/2)-L13</f>
        <v>4680.41</v>
      </c>
    </row>
    <row r="14" spans="1:13" ht="15.75" thickBot="1">
      <c r="A14" s="72"/>
      <c r="B14" s="73"/>
      <c r="C14" s="73"/>
      <c r="D14" s="107"/>
      <c r="E14" s="312"/>
      <c r="F14" s="99"/>
      <c r="G14" s="99"/>
      <c r="H14" s="99"/>
      <c r="I14" s="99"/>
      <c r="J14" s="89"/>
      <c r="K14" s="89"/>
      <c r="L14" s="108"/>
      <c r="M14" s="92"/>
    </row>
    <row r="15" spans="1:13" ht="26.25" thickBot="1">
      <c r="A15" s="103"/>
      <c r="B15" s="2"/>
      <c r="C15" s="26"/>
      <c r="D15" s="27" t="s">
        <v>28</v>
      </c>
      <c r="E15" s="28">
        <f>SUM(E9:E13)</f>
        <v>61449.380000000005</v>
      </c>
      <c r="F15" s="28">
        <f>SUM(F9:F10)</f>
        <v>0</v>
      </c>
      <c r="G15" s="28">
        <f>G16/12</f>
        <v>6737.8706140350887</v>
      </c>
      <c r="H15" s="28">
        <f>+H16/12</f>
        <v>742.63583333333327</v>
      </c>
      <c r="I15" s="28">
        <f>+I16/2</f>
        <v>5053.4029605263167</v>
      </c>
      <c r="J15" s="28">
        <f>SUM(J9:J10)</f>
        <v>0</v>
      </c>
      <c r="K15" s="28">
        <f>SUM(K9:K12)*2</f>
        <v>0</v>
      </c>
      <c r="L15" s="28">
        <f>SUM(L9:L14)*2</f>
        <v>5638.28</v>
      </c>
      <c r="M15" s="28">
        <f>SUM(M9:M14)*2</f>
        <v>55811.100000000006</v>
      </c>
    </row>
    <row r="16" spans="1:13" ht="26.25" thickBot="1">
      <c r="D16" s="29" t="s">
        <v>29</v>
      </c>
      <c r="E16" s="51">
        <f>+E15*12</f>
        <v>737392.56</v>
      </c>
      <c r="F16" s="51">
        <f>+F15*8</f>
        <v>0</v>
      </c>
      <c r="G16" s="51">
        <f>SUM(G9:G13)</f>
        <v>80854.447368421068</v>
      </c>
      <c r="H16" s="51">
        <f>SUM(H9:H13)</f>
        <v>8911.6299999999992</v>
      </c>
      <c r="I16" s="51">
        <f>SUM(I9:I13)</f>
        <v>10106.805921052633</v>
      </c>
      <c r="J16" s="51">
        <f>+J15*12</f>
        <v>0</v>
      </c>
      <c r="K16" s="51">
        <f>+K15*12</f>
        <v>0</v>
      </c>
      <c r="L16" s="51">
        <f>+L15*12</f>
        <v>67659.360000000001</v>
      </c>
      <c r="M16" s="51">
        <f>+M15*12</f>
        <v>669733.20000000007</v>
      </c>
    </row>
    <row r="17" spans="1:12">
      <c r="A17" s="224" t="s">
        <v>30</v>
      </c>
    </row>
    <row r="18" spans="1:12">
      <c r="A18" s="224" t="s">
        <v>31</v>
      </c>
      <c r="E18" s="101"/>
      <c r="L18" s="32"/>
    </row>
    <row r="19" spans="1:12">
      <c r="A19" s="224" t="s">
        <v>32</v>
      </c>
      <c r="E19" s="32"/>
    </row>
    <row r="20" spans="1:12">
      <c r="A20" s="224" t="s">
        <v>33</v>
      </c>
      <c r="E20" s="106"/>
    </row>
    <row r="21" spans="1:12">
      <c r="A21" s="224" t="s">
        <v>34</v>
      </c>
    </row>
  </sheetData>
  <mergeCells count="16">
    <mergeCell ref="M6:M7"/>
    <mergeCell ref="A1:M1"/>
    <mergeCell ref="I3:M3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305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70" zoomScaleNormal="70" workbookViewId="0">
      <selection activeCell="M23" sqref="M23"/>
    </sheetView>
  </sheetViews>
  <sheetFormatPr baseColWidth="10" defaultRowHeight="15"/>
  <cols>
    <col min="1" max="1" width="18.42578125" customWidth="1"/>
    <col min="2" max="2" width="21.28515625" customWidth="1"/>
    <col min="4" max="4" width="11.28515625" customWidth="1"/>
    <col min="5" max="5" width="15.5703125" customWidth="1"/>
    <col min="6" max="6" width="14.42578125" customWidth="1"/>
    <col min="7" max="7" width="14.28515625" customWidth="1"/>
    <col min="8" max="8" width="13.42578125" customWidth="1"/>
    <col min="9" max="9" width="13" customWidth="1"/>
    <col min="11" max="11" width="13.7109375" customWidth="1"/>
    <col min="12" max="12" width="14.5703125" customWidth="1"/>
    <col min="13" max="13" width="16" customWidth="1"/>
  </cols>
  <sheetData>
    <row r="1" spans="1:15" ht="15.75">
      <c r="A1" s="336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5" ht="15.75" thickBot="1">
      <c r="A2" s="2"/>
      <c r="B2" s="2"/>
      <c r="C2" s="2"/>
      <c r="D2" s="2"/>
      <c r="E2" s="2"/>
      <c r="F2" s="32"/>
      <c r="G2" s="2"/>
      <c r="H2" s="2"/>
      <c r="I2" s="2"/>
      <c r="J2" s="2"/>
      <c r="K2" s="2"/>
      <c r="L2" s="2"/>
      <c r="M2" s="2"/>
    </row>
    <row r="3" spans="1:15">
      <c r="A3" s="3" t="s">
        <v>1</v>
      </c>
      <c r="B3" s="4"/>
      <c r="C3" s="5"/>
      <c r="D3" s="4"/>
      <c r="E3" s="4"/>
      <c r="F3" s="109"/>
      <c r="G3" s="4"/>
      <c r="H3" s="4"/>
      <c r="I3" s="338" t="s">
        <v>35</v>
      </c>
      <c r="J3" s="339"/>
      <c r="K3" s="339"/>
      <c r="L3" s="339"/>
      <c r="M3" s="340"/>
    </row>
    <row r="4" spans="1:15" ht="15.75" thickBot="1">
      <c r="A4" s="341" t="s">
        <v>90</v>
      </c>
      <c r="B4" s="342"/>
      <c r="C4" s="342"/>
      <c r="D4" s="342"/>
      <c r="E4" s="7"/>
      <c r="F4" s="110"/>
      <c r="G4" s="7"/>
      <c r="H4" s="7"/>
      <c r="I4" s="7"/>
      <c r="J4" s="7"/>
      <c r="K4" s="7"/>
      <c r="L4" s="7"/>
      <c r="M4" s="8"/>
    </row>
    <row r="5" spans="1:15" ht="15.75" thickBot="1">
      <c r="A5" s="2"/>
      <c r="B5" s="2"/>
      <c r="C5" s="2"/>
      <c r="D5" s="2"/>
      <c r="E5" s="2"/>
      <c r="F5" s="32"/>
      <c r="G5" s="2"/>
      <c r="H5" s="2"/>
      <c r="I5" s="2"/>
      <c r="J5" s="2"/>
      <c r="K5" s="2"/>
      <c r="L5" s="2"/>
      <c r="M5" s="2"/>
    </row>
    <row r="6" spans="1:15">
      <c r="A6" s="343" t="s">
        <v>4</v>
      </c>
      <c r="B6" s="345" t="s">
        <v>5</v>
      </c>
      <c r="C6" s="345" t="s">
        <v>6</v>
      </c>
      <c r="D6" s="345" t="s">
        <v>7</v>
      </c>
      <c r="E6" s="345" t="s">
        <v>8</v>
      </c>
      <c r="F6" s="349" t="s">
        <v>65</v>
      </c>
      <c r="G6" s="345" t="s">
        <v>10</v>
      </c>
      <c r="H6" s="345" t="s">
        <v>11</v>
      </c>
      <c r="I6" s="345" t="s">
        <v>12</v>
      </c>
      <c r="J6" s="345" t="s">
        <v>13</v>
      </c>
      <c r="K6" s="345" t="s">
        <v>14</v>
      </c>
      <c r="L6" s="345" t="s">
        <v>15</v>
      </c>
      <c r="M6" s="334" t="s">
        <v>16</v>
      </c>
    </row>
    <row r="7" spans="1:15" ht="15.75" thickBot="1">
      <c r="A7" s="344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35"/>
    </row>
    <row r="8" spans="1:15" ht="15.75" thickBot="1">
      <c r="A8" s="2"/>
      <c r="B8" s="2"/>
      <c r="C8" s="9"/>
      <c r="D8" s="2"/>
      <c r="E8" s="2"/>
      <c r="F8" s="32"/>
      <c r="G8" s="2"/>
      <c r="H8" s="2"/>
      <c r="I8" s="2"/>
      <c r="J8" s="2"/>
      <c r="K8" s="2"/>
      <c r="L8" s="2"/>
      <c r="M8" s="2"/>
    </row>
    <row r="9" spans="1:15" ht="24.75" thickBot="1">
      <c r="A9" s="111" t="s">
        <v>91</v>
      </c>
      <c r="B9" s="85" t="s">
        <v>92</v>
      </c>
      <c r="C9" s="18" t="s">
        <v>19</v>
      </c>
      <c r="D9" s="94">
        <v>45536</v>
      </c>
      <c r="E9" s="19">
        <v>25013.4</v>
      </c>
      <c r="F9" s="19">
        <v>1500</v>
      </c>
      <c r="G9" s="19">
        <f>E9/30.4*40</f>
        <v>32912.368421052633</v>
      </c>
      <c r="H9" s="19">
        <v>8843.59</v>
      </c>
      <c r="I9" s="19">
        <f>E9/30.4*20*0.25</f>
        <v>4114.0460526315792</v>
      </c>
      <c r="J9" s="38"/>
      <c r="K9" s="38">
        <v>456.5</v>
      </c>
      <c r="L9" s="19">
        <v>1836.98</v>
      </c>
      <c r="M9" s="15">
        <f>+((E9+F9)/2)-K9-L9</f>
        <v>10963.220000000001</v>
      </c>
      <c r="O9" s="125"/>
    </row>
    <row r="10" spans="1:15" ht="24.75" thickBot="1">
      <c r="A10" s="130" t="s">
        <v>93</v>
      </c>
      <c r="B10" s="243" t="s">
        <v>22</v>
      </c>
      <c r="C10" s="21" t="s">
        <v>23</v>
      </c>
      <c r="D10" s="244">
        <v>45536</v>
      </c>
      <c r="E10" s="19">
        <f>4537.16*2</f>
        <v>9074.32</v>
      </c>
      <c r="F10" s="19">
        <v>500</v>
      </c>
      <c r="G10" s="19">
        <f>E10/30.4*40</f>
        <v>11939.894736842105</v>
      </c>
      <c r="H10" s="19">
        <v>561.49</v>
      </c>
      <c r="I10" s="19">
        <f>E10/30.4*20*0.25</f>
        <v>1492.4868421052631</v>
      </c>
      <c r="J10" s="19"/>
      <c r="K10" s="19">
        <v>146.27000000000001</v>
      </c>
      <c r="L10" s="14">
        <v>252.04</v>
      </c>
      <c r="M10" s="15">
        <f>+(E10/2)-K10-L10</f>
        <v>4138.8499999999995</v>
      </c>
    </row>
    <row r="11" spans="1:15" s="199" customFormat="1" ht="15.75" thickBot="1">
      <c r="A11" s="245" t="s">
        <v>63</v>
      </c>
      <c r="B11" s="246" t="s">
        <v>94</v>
      </c>
      <c r="C11" s="247" t="s">
        <v>23</v>
      </c>
      <c r="D11" s="248">
        <v>45658</v>
      </c>
      <c r="E11" s="242">
        <v>6500</v>
      </c>
      <c r="F11" s="158"/>
      <c r="G11" s="158">
        <f>E11/30.4*40</f>
        <v>8552.6315789473683</v>
      </c>
      <c r="H11" s="241">
        <f>F11/30.4*40</f>
        <v>0</v>
      </c>
      <c r="I11" s="158">
        <f>E11/30.4*20*0.25</f>
        <v>1069.078947368421</v>
      </c>
      <c r="J11" s="159"/>
      <c r="K11" s="159"/>
      <c r="L11" s="158">
        <v>192.05</v>
      </c>
      <c r="M11" s="128">
        <f>+(E11/2)-K11-L11</f>
        <v>3057.95</v>
      </c>
    </row>
    <row r="12" spans="1:15" s="199" customFormat="1" ht="24.75" thickBot="1">
      <c r="A12" s="245" t="s">
        <v>254</v>
      </c>
      <c r="B12" s="246" t="s">
        <v>255</v>
      </c>
      <c r="C12" s="247" t="s">
        <v>23</v>
      </c>
      <c r="D12" s="248">
        <v>46023</v>
      </c>
      <c r="E12" s="242">
        <v>8625.5</v>
      </c>
      <c r="F12" s="158"/>
      <c r="G12" s="158">
        <f t="shared" ref="G12" si="0">E12/30.4*40</f>
        <v>11349.342105263158</v>
      </c>
      <c r="H12" s="158">
        <v>409.39</v>
      </c>
      <c r="I12" s="158">
        <f t="shared" ref="I12" si="1">E12/30.4*20*0.25</f>
        <v>1418.6677631578948</v>
      </c>
      <c r="J12" s="158"/>
      <c r="K12" s="158"/>
      <c r="L12" s="158">
        <v>312.75</v>
      </c>
      <c r="M12" s="128">
        <f>+((E12/2)-K12-L12)</f>
        <v>4000</v>
      </c>
    </row>
    <row r="13" spans="1:15" s="124" customFormat="1" ht="15.75" thickBot="1">
      <c r="A13" s="116"/>
      <c r="B13" s="117"/>
      <c r="C13" s="118"/>
      <c r="D13" s="119"/>
      <c r="E13" s="120"/>
      <c r="F13" s="120"/>
      <c r="G13" s="120"/>
      <c r="H13" s="121"/>
      <c r="I13" s="120"/>
      <c r="J13" s="122"/>
      <c r="K13" s="122"/>
      <c r="L13" s="120"/>
      <c r="M13" s="123"/>
    </row>
    <row r="14" spans="1:15" ht="25.5">
      <c r="A14" s="2"/>
      <c r="B14" s="2"/>
      <c r="C14" s="26"/>
      <c r="D14" s="27" t="s">
        <v>28</v>
      </c>
      <c r="E14" s="28">
        <f>SUM(E9:E12)</f>
        <v>49213.22</v>
      </c>
      <c r="F14" s="28">
        <f>SUM(F9:F11)</f>
        <v>2000</v>
      </c>
      <c r="G14" s="28">
        <f>+G15/12</f>
        <v>5396.1864035087719</v>
      </c>
      <c r="H14" s="28">
        <f>+H15/12</f>
        <v>817.87249999999995</v>
      </c>
      <c r="I14" s="28">
        <f>+I15/2</f>
        <v>4047.1398026315792</v>
      </c>
      <c r="J14" s="28">
        <f>SUM(J9:J11)</f>
        <v>0</v>
      </c>
      <c r="K14" s="28">
        <f t="shared" ref="K14" si="2">SUM(K9:K12)*2</f>
        <v>1205.54</v>
      </c>
      <c r="L14" s="28">
        <f>SUM(L9:L12)*2</f>
        <v>5187.6400000000003</v>
      </c>
      <c r="M14" s="28">
        <f>SUM(M9:M12)*2</f>
        <v>44320.04</v>
      </c>
      <c r="O14" s="127"/>
    </row>
    <row r="15" spans="1:15" ht="26.25" thickBot="1">
      <c r="A15" s="2"/>
      <c r="B15" s="2"/>
      <c r="C15" s="2"/>
      <c r="D15" s="29" t="s">
        <v>29</v>
      </c>
      <c r="E15" s="30">
        <f>+E14*12</f>
        <v>590558.64</v>
      </c>
      <c r="F15" s="30">
        <f>+F14*12</f>
        <v>24000</v>
      </c>
      <c r="G15" s="30">
        <f>SUM(G9:G12)</f>
        <v>64754.236842105267</v>
      </c>
      <c r="H15" s="30">
        <f>SUM(H9:H12)</f>
        <v>9814.4699999999993</v>
      </c>
      <c r="I15" s="30">
        <f>SUM(I9:I12)</f>
        <v>8094.2796052631584</v>
      </c>
      <c r="J15" s="30">
        <f>+J14*12</f>
        <v>0</v>
      </c>
      <c r="K15" s="30">
        <f>+K14*12</f>
        <v>14466.48</v>
      </c>
      <c r="L15" s="30">
        <f>+L14*12</f>
        <v>62251.680000000008</v>
      </c>
      <c r="M15" s="30">
        <f>+M14*12</f>
        <v>531840.48</v>
      </c>
    </row>
    <row r="16" spans="1:15">
      <c r="A16" s="31" t="s">
        <v>30</v>
      </c>
      <c r="B16" s="2"/>
      <c r="C16" s="2"/>
      <c r="D16" s="2"/>
      <c r="E16" s="2"/>
      <c r="F16" s="32"/>
      <c r="G16" s="2"/>
      <c r="H16" s="2"/>
      <c r="I16" s="2"/>
      <c r="J16" s="2"/>
      <c r="K16" s="2"/>
      <c r="L16" s="2"/>
      <c r="M16" s="2"/>
    </row>
    <row r="17" spans="1:13">
      <c r="A17" s="31" t="s">
        <v>31</v>
      </c>
      <c r="B17" s="2"/>
      <c r="C17" s="2"/>
      <c r="D17" s="2"/>
      <c r="E17" s="32"/>
      <c r="F17" s="32"/>
      <c r="G17" s="2"/>
      <c r="H17" s="2"/>
      <c r="I17" s="2"/>
      <c r="J17" s="2"/>
      <c r="K17" s="2"/>
      <c r="L17" s="32"/>
      <c r="M17" s="2"/>
    </row>
    <row r="18" spans="1:13">
      <c r="A18" s="31" t="s">
        <v>32</v>
      </c>
      <c r="B18" s="2"/>
      <c r="C18" s="2"/>
      <c r="D18" s="2"/>
      <c r="E18" s="32"/>
      <c r="F18" s="32"/>
      <c r="G18" s="2"/>
      <c r="H18" s="2"/>
      <c r="I18" s="2"/>
      <c r="J18" s="2"/>
      <c r="K18" s="2"/>
      <c r="L18" s="2"/>
      <c r="M18" s="2"/>
    </row>
    <row r="19" spans="1:13">
      <c r="A19" s="31" t="s">
        <v>33</v>
      </c>
      <c r="B19" s="2"/>
      <c r="C19" s="2"/>
      <c r="D19" s="2"/>
      <c r="E19" s="2"/>
      <c r="F19" s="2"/>
      <c r="G19" s="106"/>
      <c r="H19" s="2"/>
      <c r="I19" s="2"/>
      <c r="J19" s="2"/>
      <c r="K19" s="2"/>
      <c r="L19" s="2"/>
      <c r="M19" s="2"/>
    </row>
    <row r="20" spans="1:13">
      <c r="A20" s="31" t="s">
        <v>34</v>
      </c>
      <c r="B20" s="2"/>
      <c r="C20" s="2"/>
      <c r="D20" s="2"/>
      <c r="E20" s="2"/>
      <c r="F20" s="32"/>
      <c r="G20" s="2"/>
      <c r="H20" s="2"/>
      <c r="I20" s="2"/>
      <c r="J20" s="2"/>
      <c r="K20" s="2"/>
      <c r="L20" s="2"/>
      <c r="M20" s="2"/>
    </row>
    <row r="21" spans="1:13">
      <c r="F21" s="32"/>
    </row>
    <row r="22" spans="1:13">
      <c r="F22" s="32"/>
    </row>
    <row r="23" spans="1:13">
      <c r="F23" s="32"/>
    </row>
    <row r="24" spans="1:13">
      <c r="F24" s="32"/>
    </row>
    <row r="25" spans="1:13">
      <c r="F25" s="32"/>
    </row>
    <row r="26" spans="1:13" ht="15.75">
      <c r="A26" s="336" t="s">
        <v>0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</row>
    <row r="27" spans="1:13" ht="15.7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3" t="s">
        <v>1</v>
      </c>
      <c r="B28" s="4"/>
      <c r="C28" s="5"/>
      <c r="D28" s="4"/>
      <c r="E28" s="4"/>
      <c r="F28" s="4"/>
      <c r="G28" s="4"/>
      <c r="H28" s="4"/>
      <c r="I28" s="338" t="s">
        <v>35</v>
      </c>
      <c r="J28" s="339"/>
      <c r="K28" s="339"/>
      <c r="L28" s="339"/>
      <c r="M28" s="340"/>
    </row>
    <row r="29" spans="1:13" ht="15.75" thickBot="1">
      <c r="A29" s="341" t="s">
        <v>95</v>
      </c>
      <c r="B29" s="342"/>
      <c r="C29" s="342"/>
      <c r="D29" s="342"/>
      <c r="E29" s="7"/>
      <c r="F29" s="7"/>
      <c r="G29" s="7"/>
      <c r="H29" s="7"/>
      <c r="I29" s="7"/>
      <c r="J29" s="7"/>
      <c r="K29" s="7"/>
      <c r="L29" s="7"/>
      <c r="M29" s="8"/>
    </row>
    <row r="30" spans="1:13" ht="15.7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343" t="s">
        <v>4</v>
      </c>
      <c r="B31" s="345" t="s">
        <v>5</v>
      </c>
      <c r="C31" s="345" t="s">
        <v>6</v>
      </c>
      <c r="D31" s="345" t="s">
        <v>7</v>
      </c>
      <c r="E31" s="345" t="s">
        <v>8</v>
      </c>
      <c r="F31" s="345" t="s">
        <v>9</v>
      </c>
      <c r="G31" s="345" t="s">
        <v>10</v>
      </c>
      <c r="H31" s="345" t="s">
        <v>11</v>
      </c>
      <c r="I31" s="345" t="s">
        <v>12</v>
      </c>
      <c r="J31" s="345" t="s">
        <v>13</v>
      </c>
      <c r="K31" s="345" t="s">
        <v>14</v>
      </c>
      <c r="L31" s="345" t="s">
        <v>15</v>
      </c>
      <c r="M31" s="334" t="s">
        <v>16</v>
      </c>
    </row>
    <row r="32" spans="1:13" ht="15.75" thickBot="1">
      <c r="A32" s="344"/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35"/>
    </row>
    <row r="33" spans="1:13" ht="15.75" thickBot="1">
      <c r="A33" s="2"/>
      <c r="B33" s="2"/>
      <c r="C33" s="9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s="198" customFormat="1" ht="15.75" thickBot="1">
      <c r="A34" s="39" t="s">
        <v>89</v>
      </c>
      <c r="B34" s="18" t="s">
        <v>262</v>
      </c>
      <c r="C34" s="18" t="s">
        <v>19</v>
      </c>
      <c r="D34" s="37">
        <v>44927</v>
      </c>
      <c r="E34" s="105">
        <v>10992.06</v>
      </c>
      <c r="F34" s="40"/>
      <c r="G34" s="40">
        <f>E34/30.4*40</f>
        <v>14463.236842105263</v>
      </c>
      <c r="H34" s="40">
        <v>1258.5</v>
      </c>
      <c r="I34" s="40">
        <f>E34/30.4*20*0.25</f>
        <v>1807.9046052631579</v>
      </c>
      <c r="J34" s="83"/>
      <c r="K34" s="83">
        <v>200.6</v>
      </c>
      <c r="L34" s="22">
        <v>330.4</v>
      </c>
      <c r="M34" s="15">
        <f>+(E34/2)-L34-K34</f>
        <v>4965.03</v>
      </c>
    </row>
    <row r="35" spans="1:13">
      <c r="A35" s="11"/>
      <c r="B35" s="11"/>
      <c r="C35" s="12"/>
      <c r="D35" s="47"/>
      <c r="E35" s="14"/>
      <c r="F35" s="69"/>
      <c r="G35" s="38"/>
      <c r="H35" s="19"/>
      <c r="I35" s="38"/>
      <c r="J35" s="19"/>
      <c r="K35" s="96"/>
      <c r="L35" s="19"/>
      <c r="M35" s="112"/>
    </row>
    <row r="36" spans="1:13" ht="15.75" thickBot="1">
      <c r="A36" s="42"/>
      <c r="B36" s="69"/>
      <c r="C36" s="113"/>
      <c r="D36" s="69"/>
      <c r="E36" s="69"/>
      <c r="F36" s="69"/>
      <c r="G36" s="69"/>
      <c r="H36" s="69"/>
      <c r="I36" s="69"/>
      <c r="J36" s="96"/>
      <c r="K36" s="69"/>
      <c r="L36" s="69"/>
      <c r="M36" s="70"/>
    </row>
    <row r="37" spans="1:13" ht="15.75" thickBot="1">
      <c r="A37" s="104"/>
      <c r="B37" s="104"/>
      <c r="C37" s="114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13" ht="25.5">
      <c r="A38" s="2"/>
      <c r="B38" s="2"/>
      <c r="C38" s="26"/>
      <c r="D38" s="27" t="s">
        <v>28</v>
      </c>
      <c r="E38" s="28">
        <f>SUM(E34:E36)</f>
        <v>10992.06</v>
      </c>
      <c r="F38" s="28">
        <f>SUM(F34:F36)</f>
        <v>0</v>
      </c>
      <c r="G38" s="28">
        <f>+G39/12</f>
        <v>1205.2697368421052</v>
      </c>
      <c r="H38" s="28">
        <f>+H39/12</f>
        <v>104.875</v>
      </c>
      <c r="I38" s="28">
        <f>+I39/2</f>
        <v>903.95230263157896</v>
      </c>
      <c r="J38" s="28">
        <f>SUM(J34:J35)</f>
        <v>0</v>
      </c>
      <c r="K38" s="28">
        <f>SUM(K34:K36)</f>
        <v>200.6</v>
      </c>
      <c r="L38" s="28">
        <f>SUM(L34:L36)</f>
        <v>330.4</v>
      </c>
      <c r="M38" s="28">
        <f>SUM(M34:M36)</f>
        <v>4965.03</v>
      </c>
    </row>
    <row r="39" spans="1:13" ht="26.25" thickBot="1">
      <c r="A39" s="2"/>
      <c r="B39" s="2"/>
      <c r="C39" s="2"/>
      <c r="D39" s="29" t="s">
        <v>29</v>
      </c>
      <c r="E39" s="30">
        <f>+E38*12</f>
        <v>131904.72</v>
      </c>
      <c r="F39" s="30">
        <f>+F38*12</f>
        <v>0</v>
      </c>
      <c r="G39" s="30">
        <f>SUM(G34:G35)</f>
        <v>14463.236842105263</v>
      </c>
      <c r="H39" s="30">
        <f>SUM(H34:H36)</f>
        <v>1258.5</v>
      </c>
      <c r="I39" s="30">
        <f>SUM(I34:I35)</f>
        <v>1807.9046052631579</v>
      </c>
      <c r="J39" s="30">
        <f>+J38*12</f>
        <v>0</v>
      </c>
      <c r="K39" s="30">
        <f>+K38*12</f>
        <v>2407.1999999999998</v>
      </c>
      <c r="L39" s="30">
        <f>+L38*12</f>
        <v>3964.7999999999997</v>
      </c>
      <c r="M39" s="30">
        <f>+M38*12</f>
        <v>59580.36</v>
      </c>
    </row>
    <row r="40" spans="1:13">
      <c r="A40" s="31" t="s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31" t="s">
        <v>31</v>
      </c>
      <c r="B41" s="2"/>
      <c r="C41" s="2"/>
      <c r="D41" s="2"/>
      <c r="E41" s="32"/>
      <c r="F41" s="2"/>
      <c r="G41" s="2"/>
      <c r="H41" s="2"/>
      <c r="I41" s="2"/>
      <c r="J41" s="2"/>
      <c r="K41" s="2"/>
      <c r="L41" s="2"/>
      <c r="M41" s="2"/>
    </row>
    <row r="42" spans="1:13">
      <c r="A42" s="31" t="s">
        <v>32</v>
      </c>
      <c r="B42" s="2"/>
      <c r="C42" s="2"/>
      <c r="D42" s="2"/>
      <c r="E42" s="2"/>
      <c r="F42" s="33"/>
      <c r="G42" s="2"/>
      <c r="H42" s="2"/>
      <c r="I42" s="2"/>
      <c r="J42" s="2"/>
      <c r="K42" s="2"/>
      <c r="L42" s="2"/>
      <c r="M42" s="2"/>
    </row>
    <row r="43" spans="1:13">
      <c r="A43" s="31" t="s">
        <v>33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31" t="s">
        <v>34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</sheetData>
  <mergeCells count="32">
    <mergeCell ref="M31:M32"/>
    <mergeCell ref="A26:M26"/>
    <mergeCell ref="I28:M28"/>
    <mergeCell ref="A29:D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6:M7"/>
    <mergeCell ref="A1:M1"/>
    <mergeCell ref="I3:M3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25" right="0.25" top="0.75" bottom="0.75" header="0.3" footer="0.3"/>
  <pageSetup paperSize="305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zoomScale="60" zoomScaleNormal="60" workbookViewId="0">
      <selection activeCell="M9" sqref="M9"/>
    </sheetView>
  </sheetViews>
  <sheetFormatPr baseColWidth="10" defaultColWidth="11.42578125" defaultRowHeight="15"/>
  <cols>
    <col min="1" max="1" width="21.7109375" style="293" customWidth="1"/>
    <col min="2" max="2" width="24.7109375" style="293" customWidth="1"/>
    <col min="3" max="4" width="11.42578125" style="199"/>
    <col min="5" max="5" width="17.5703125" style="199" customWidth="1"/>
    <col min="6" max="6" width="14.140625" style="199" customWidth="1"/>
    <col min="7" max="7" width="16.85546875" style="199" customWidth="1"/>
    <col min="8" max="8" width="15" style="199" customWidth="1"/>
    <col min="9" max="9" width="15.7109375" style="199" customWidth="1"/>
    <col min="10" max="10" width="11.42578125" style="199"/>
    <col min="11" max="11" width="13.85546875" style="199" customWidth="1"/>
    <col min="12" max="12" width="16" style="199" customWidth="1"/>
    <col min="13" max="13" width="17.28515625" style="199" customWidth="1"/>
    <col min="14" max="14" width="13.140625" style="199" bestFit="1" customWidth="1"/>
    <col min="15" max="16" width="11.42578125" style="199"/>
    <col min="17" max="17" width="13.140625" style="199" bestFit="1" customWidth="1"/>
    <col min="18" max="16384" width="11.42578125" style="199"/>
  </cols>
  <sheetData>
    <row r="1" spans="1:13" ht="15.75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5.75" thickBo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>
      <c r="A3" s="136" t="s">
        <v>1</v>
      </c>
      <c r="B3" s="292"/>
      <c r="C3" s="138"/>
      <c r="D3" s="292"/>
      <c r="E3" s="292"/>
      <c r="F3" s="292"/>
      <c r="G3" s="292"/>
      <c r="H3" s="292"/>
      <c r="I3" s="325" t="s">
        <v>35</v>
      </c>
      <c r="J3" s="326"/>
      <c r="K3" s="326"/>
      <c r="L3" s="326"/>
      <c r="M3" s="327"/>
    </row>
    <row r="4" spans="1:13" ht="15.75" thickBot="1">
      <c r="A4" s="139" t="s">
        <v>269</v>
      </c>
      <c r="B4" s="140"/>
      <c r="C4" s="140"/>
      <c r="D4" s="140"/>
      <c r="E4" s="140"/>
      <c r="F4" s="141"/>
      <c r="G4" s="141"/>
      <c r="H4" s="141"/>
      <c r="I4" s="141"/>
      <c r="J4" s="141"/>
      <c r="K4" s="141"/>
      <c r="L4" s="141"/>
      <c r="M4" s="142"/>
    </row>
    <row r="5" spans="1:13" ht="15.75" thickBo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>
      <c r="A6" s="330" t="s">
        <v>4</v>
      </c>
      <c r="B6" s="332" t="s">
        <v>5</v>
      </c>
      <c r="C6" s="332" t="s">
        <v>6</v>
      </c>
      <c r="D6" s="332" t="s">
        <v>7</v>
      </c>
      <c r="E6" s="332" t="s">
        <v>8</v>
      </c>
      <c r="F6" s="332" t="s">
        <v>9</v>
      </c>
      <c r="G6" s="332" t="s">
        <v>10</v>
      </c>
      <c r="H6" s="332" t="s">
        <v>11</v>
      </c>
      <c r="I6" s="332" t="s">
        <v>12</v>
      </c>
      <c r="J6" s="332" t="s">
        <v>13</v>
      </c>
      <c r="K6" s="332" t="s">
        <v>14</v>
      </c>
      <c r="L6" s="332" t="s">
        <v>15</v>
      </c>
      <c r="M6" s="321" t="s">
        <v>81</v>
      </c>
    </row>
    <row r="7" spans="1:13" ht="15.75" thickBot="1">
      <c r="A7" s="331"/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22"/>
    </row>
    <row r="8" spans="1:13">
      <c r="A8" s="143"/>
      <c r="B8" s="143"/>
      <c r="C8" s="154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9" spans="1:13" ht="15.75" thickBot="1">
      <c r="A9" s="201" t="s">
        <v>63</v>
      </c>
      <c r="B9" s="201" t="s">
        <v>248</v>
      </c>
      <c r="C9" s="156" t="s">
        <v>23</v>
      </c>
      <c r="D9" s="160">
        <v>46023</v>
      </c>
      <c r="E9" s="158">
        <v>15229.48</v>
      </c>
      <c r="F9" s="249"/>
      <c r="G9" s="159">
        <f t="shared" ref="G9" si="0">E9/30.4*40</f>
        <v>20038.78947368421</v>
      </c>
      <c r="H9" s="159">
        <v>3109.9</v>
      </c>
      <c r="I9" s="159">
        <f t="shared" ref="I9" si="1">E9/30.4*20*0.25</f>
        <v>2504.8486842105262</v>
      </c>
      <c r="J9" s="249"/>
      <c r="K9" s="250">
        <v>310.33</v>
      </c>
      <c r="L9" s="251">
        <v>804.41</v>
      </c>
      <c r="M9" s="252">
        <f>+(E9/2)-K9-L9</f>
        <v>6500</v>
      </c>
    </row>
    <row r="10" spans="1:13" ht="15.75" thickBot="1">
      <c r="A10" s="201" t="s">
        <v>99</v>
      </c>
      <c r="B10" s="201" t="s">
        <v>270</v>
      </c>
      <c r="C10" s="156" t="s">
        <v>23</v>
      </c>
      <c r="D10" s="160">
        <v>45536</v>
      </c>
      <c r="E10" s="158">
        <f>4537.16*2</f>
        <v>9074.32</v>
      </c>
      <c r="F10" s="158"/>
      <c r="G10" s="158">
        <f t="shared" ref="G10:G26" si="2">E10/30.4*40</f>
        <v>11939.894736842105</v>
      </c>
      <c r="H10" s="158">
        <v>561.49</v>
      </c>
      <c r="I10" s="158">
        <f t="shared" ref="I10:I29" si="3">E10/30.4*20*0.25</f>
        <v>1492.4868421052631</v>
      </c>
      <c r="J10" s="158"/>
      <c r="K10" s="158"/>
      <c r="L10" s="253">
        <v>336.16</v>
      </c>
      <c r="M10" s="128">
        <f t="shared" ref="M10:M18" si="4">+(E10/2)-L10</f>
        <v>4201</v>
      </c>
    </row>
    <row r="11" spans="1:13" ht="15.75" thickBot="1">
      <c r="A11" s="201" t="s">
        <v>100</v>
      </c>
      <c r="B11" s="201" t="s">
        <v>101</v>
      </c>
      <c r="C11" s="156" t="s">
        <v>23</v>
      </c>
      <c r="D11" s="160">
        <v>43831</v>
      </c>
      <c r="E11" s="159">
        <v>5635.28</v>
      </c>
      <c r="F11" s="159"/>
      <c r="G11" s="159">
        <f t="shared" si="2"/>
        <v>7414.8421052631584</v>
      </c>
      <c r="H11" s="159">
        <v>226.76</v>
      </c>
      <c r="I11" s="159">
        <f t="shared" si="3"/>
        <v>926.8552631578948</v>
      </c>
      <c r="J11" s="159"/>
      <c r="K11" s="159"/>
      <c r="L11" s="158">
        <v>17.64</v>
      </c>
      <c r="M11" s="128">
        <f t="shared" si="4"/>
        <v>2800</v>
      </c>
    </row>
    <row r="12" spans="1:13" ht="15.75" thickBot="1">
      <c r="A12" s="201" t="s">
        <v>102</v>
      </c>
      <c r="B12" s="201" t="s">
        <v>103</v>
      </c>
      <c r="C12" s="156" t="s">
        <v>23</v>
      </c>
      <c r="D12" s="160">
        <v>42263</v>
      </c>
      <c r="E12" s="158">
        <v>4000</v>
      </c>
      <c r="F12" s="159"/>
      <c r="G12" s="159">
        <f t="shared" si="2"/>
        <v>5263.1578947368425</v>
      </c>
      <c r="H12" s="159">
        <v>29.64</v>
      </c>
      <c r="I12" s="159">
        <f t="shared" si="3"/>
        <v>657.89473684210532</v>
      </c>
      <c r="J12" s="159"/>
      <c r="K12" s="159"/>
      <c r="L12" s="159"/>
      <c r="M12" s="128">
        <f t="shared" si="4"/>
        <v>2000</v>
      </c>
    </row>
    <row r="13" spans="1:13" ht="15.75" thickBot="1">
      <c r="A13" s="201" t="s">
        <v>104</v>
      </c>
      <c r="B13" s="201" t="s">
        <v>105</v>
      </c>
      <c r="C13" s="156" t="s">
        <v>23</v>
      </c>
      <c r="D13" s="160">
        <v>42736</v>
      </c>
      <c r="E13" s="158">
        <f>3048.35*2</f>
        <v>6096.7</v>
      </c>
      <c r="F13" s="159"/>
      <c r="G13" s="159">
        <f t="shared" si="2"/>
        <v>8021.9736842105258</v>
      </c>
      <c r="H13" s="159">
        <v>461.83</v>
      </c>
      <c r="I13" s="159">
        <f t="shared" si="3"/>
        <v>1002.7467105263157</v>
      </c>
      <c r="J13" s="159"/>
      <c r="K13" s="232"/>
      <c r="L13" s="158">
        <v>30.87</v>
      </c>
      <c r="M13" s="128">
        <f t="shared" si="4"/>
        <v>3017.48</v>
      </c>
    </row>
    <row r="14" spans="1:13">
      <c r="A14" s="201" t="s">
        <v>63</v>
      </c>
      <c r="B14" s="201" t="s">
        <v>106</v>
      </c>
      <c r="C14" s="156" t="s">
        <v>23</v>
      </c>
      <c r="D14" s="160">
        <v>46023</v>
      </c>
      <c r="E14" s="159">
        <v>7883.6</v>
      </c>
      <c r="F14" s="159"/>
      <c r="G14" s="159">
        <f t="shared" si="2"/>
        <v>10373.157894736843</v>
      </c>
      <c r="H14" s="159">
        <v>158.69</v>
      </c>
      <c r="I14" s="159">
        <f t="shared" si="3"/>
        <v>1296.6447368421054</v>
      </c>
      <c r="J14" s="170"/>
      <c r="K14" s="159"/>
      <c r="L14" s="170">
        <v>75.290000000000006</v>
      </c>
      <c r="M14" s="128">
        <f t="shared" si="4"/>
        <v>3866.51</v>
      </c>
    </row>
    <row r="15" spans="1:13" ht="25.5" customHeight="1">
      <c r="A15" s="295" t="s">
        <v>107</v>
      </c>
      <c r="B15" s="192" t="s">
        <v>108</v>
      </c>
      <c r="C15" s="156" t="s">
        <v>23</v>
      </c>
      <c r="D15" s="160">
        <v>44562</v>
      </c>
      <c r="E15" s="158">
        <v>7302.68</v>
      </c>
      <c r="F15" s="159"/>
      <c r="G15" s="159">
        <f t="shared" si="2"/>
        <v>9608.7894736842118</v>
      </c>
      <c r="H15" s="158">
        <v>745.31</v>
      </c>
      <c r="I15" s="159">
        <f t="shared" si="3"/>
        <v>1201.0986842105265</v>
      </c>
      <c r="J15" s="159"/>
      <c r="K15" s="159"/>
      <c r="L15" s="158">
        <v>129.72</v>
      </c>
      <c r="M15" s="159">
        <f t="shared" si="4"/>
        <v>3521.6200000000003</v>
      </c>
    </row>
    <row r="16" spans="1:13">
      <c r="A16" s="201" t="s">
        <v>109</v>
      </c>
      <c r="B16" s="201" t="s">
        <v>110</v>
      </c>
      <c r="C16" s="156" t="s">
        <v>23</v>
      </c>
      <c r="D16" s="160">
        <v>44562</v>
      </c>
      <c r="E16" s="159">
        <v>8180.84</v>
      </c>
      <c r="F16" s="159"/>
      <c r="G16" s="159">
        <f t="shared" si="2"/>
        <v>10764.263157894738</v>
      </c>
      <c r="H16" s="159">
        <v>745.31</v>
      </c>
      <c r="I16" s="159">
        <f t="shared" si="3"/>
        <v>1345.5328947368423</v>
      </c>
      <c r="J16" s="159"/>
      <c r="K16" s="232"/>
      <c r="L16" s="159">
        <v>149.32</v>
      </c>
      <c r="M16" s="159">
        <f t="shared" si="4"/>
        <v>3941.1</v>
      </c>
    </row>
    <row r="17" spans="1:13">
      <c r="A17" s="201" t="s">
        <v>111</v>
      </c>
      <c r="B17" s="230" t="s">
        <v>112</v>
      </c>
      <c r="C17" s="156" t="s">
        <v>23</v>
      </c>
      <c r="D17" s="160">
        <v>44562</v>
      </c>
      <c r="E17" s="158">
        <v>5248</v>
      </c>
      <c r="F17" s="293"/>
      <c r="G17" s="159">
        <f t="shared" si="2"/>
        <v>6905.2631578947376</v>
      </c>
      <c r="H17" s="159">
        <v>396.07</v>
      </c>
      <c r="I17" s="159">
        <f t="shared" si="3"/>
        <v>863.1578947368422</v>
      </c>
      <c r="J17" s="159"/>
      <c r="K17" s="159"/>
      <c r="L17" s="159">
        <v>124</v>
      </c>
      <c r="M17" s="159">
        <f t="shared" si="4"/>
        <v>2500</v>
      </c>
    </row>
    <row r="18" spans="1:13">
      <c r="A18" s="201" t="s">
        <v>113</v>
      </c>
      <c r="B18" s="230" t="s">
        <v>260</v>
      </c>
      <c r="C18" s="156" t="s">
        <v>23</v>
      </c>
      <c r="D18" s="160">
        <v>45216</v>
      </c>
      <c r="E18" s="158">
        <v>5248.82</v>
      </c>
      <c r="F18" s="159">
        <v>400</v>
      </c>
      <c r="G18" s="159">
        <f t="shared" si="2"/>
        <v>6906.3421052631575</v>
      </c>
      <c r="H18" s="159">
        <v>396.07</v>
      </c>
      <c r="I18" s="159">
        <f t="shared" si="3"/>
        <v>863.29276315789468</v>
      </c>
      <c r="J18" s="159"/>
      <c r="K18" s="232"/>
      <c r="L18" s="158">
        <v>124</v>
      </c>
      <c r="M18" s="159">
        <f t="shared" si="4"/>
        <v>2500.41</v>
      </c>
    </row>
    <row r="19" spans="1:13">
      <c r="A19" s="201" t="s">
        <v>63</v>
      </c>
      <c r="B19" s="230" t="s">
        <v>264</v>
      </c>
      <c r="C19" s="156" t="s">
        <v>114</v>
      </c>
      <c r="D19" s="160">
        <v>46023</v>
      </c>
      <c r="E19" s="159">
        <v>4400</v>
      </c>
      <c r="F19" s="159"/>
      <c r="G19" s="159">
        <f>E19/30.4*40</f>
        <v>5789.4736842105267</v>
      </c>
      <c r="H19" s="159">
        <v>234.42</v>
      </c>
      <c r="I19" s="159">
        <f t="shared" si="3"/>
        <v>723.68421052631584</v>
      </c>
      <c r="J19" s="159"/>
      <c r="K19" s="159"/>
      <c r="L19" s="158"/>
      <c r="M19" s="159">
        <v>2200</v>
      </c>
    </row>
    <row r="20" spans="1:13">
      <c r="A20" s="201" t="s">
        <v>115</v>
      </c>
      <c r="B20" s="230" t="s">
        <v>120</v>
      </c>
      <c r="C20" s="156" t="s">
        <v>23</v>
      </c>
      <c r="D20" s="160">
        <v>45916</v>
      </c>
      <c r="E20" s="158">
        <v>7302.68</v>
      </c>
      <c r="F20" s="159">
        <v>400</v>
      </c>
      <c r="G20" s="159">
        <f t="shared" si="2"/>
        <v>9608.7894736842118</v>
      </c>
      <c r="H20" s="158">
        <v>745.31</v>
      </c>
      <c r="I20" s="159">
        <f t="shared" si="3"/>
        <v>1201.0986842105265</v>
      </c>
      <c r="J20" s="159"/>
      <c r="K20" s="159"/>
      <c r="L20" s="158">
        <v>129.72</v>
      </c>
      <c r="M20" s="159">
        <f t="shared" ref="M20:M29" si="5">+(E20/2)-L20</f>
        <v>3521.6200000000003</v>
      </c>
    </row>
    <row r="21" spans="1:13">
      <c r="A21" s="201" t="s">
        <v>266</v>
      </c>
      <c r="B21" s="230" t="s">
        <v>101</v>
      </c>
      <c r="C21" s="156" t="s">
        <v>23</v>
      </c>
      <c r="D21" s="160">
        <v>45948</v>
      </c>
      <c r="E21" s="159">
        <v>5632.22</v>
      </c>
      <c r="F21" s="159"/>
      <c r="G21" s="159">
        <f t="shared" si="2"/>
        <v>7410.8157894736851</v>
      </c>
      <c r="H21" s="159">
        <v>396.07</v>
      </c>
      <c r="I21" s="159">
        <f t="shared" si="3"/>
        <v>926.35197368421063</v>
      </c>
      <c r="J21" s="159"/>
      <c r="K21" s="232"/>
      <c r="L21" s="170">
        <v>16.11</v>
      </c>
      <c r="M21" s="159">
        <f t="shared" si="5"/>
        <v>2800</v>
      </c>
    </row>
    <row r="22" spans="1:13">
      <c r="A22" s="201" t="s">
        <v>63</v>
      </c>
      <c r="B22" s="230" t="s">
        <v>117</v>
      </c>
      <c r="C22" s="156" t="s">
        <v>23</v>
      </c>
      <c r="D22" s="160">
        <v>46023</v>
      </c>
      <c r="E22" s="159">
        <v>6093.44</v>
      </c>
      <c r="F22" s="159"/>
      <c r="G22" s="159">
        <f t="shared" si="2"/>
        <v>8017.6842105263149</v>
      </c>
      <c r="H22" s="159">
        <v>396.07</v>
      </c>
      <c r="I22" s="159">
        <f t="shared" si="3"/>
        <v>1002.2105263157894</v>
      </c>
      <c r="J22" s="159"/>
      <c r="K22" s="232"/>
      <c r="L22" s="159">
        <v>124</v>
      </c>
      <c r="M22" s="159">
        <f t="shared" si="5"/>
        <v>2922.72</v>
      </c>
    </row>
    <row r="23" spans="1:13">
      <c r="A23" s="201" t="s">
        <v>118</v>
      </c>
      <c r="B23" s="230" t="s">
        <v>119</v>
      </c>
      <c r="C23" s="156" t="s">
        <v>23</v>
      </c>
      <c r="D23" s="160">
        <v>45945</v>
      </c>
      <c r="E23" s="158">
        <v>6093.44</v>
      </c>
      <c r="F23" s="159"/>
      <c r="G23" s="159">
        <f t="shared" si="2"/>
        <v>8017.6842105263149</v>
      </c>
      <c r="H23" s="158">
        <v>396.07</v>
      </c>
      <c r="I23" s="159">
        <f t="shared" si="3"/>
        <v>1002.2105263157894</v>
      </c>
      <c r="J23" s="159"/>
      <c r="K23" s="159"/>
      <c r="L23" s="158">
        <v>124</v>
      </c>
      <c r="M23" s="159">
        <f t="shared" si="5"/>
        <v>2922.72</v>
      </c>
    </row>
    <row r="24" spans="1:13">
      <c r="A24" s="201" t="s">
        <v>63</v>
      </c>
      <c r="B24" s="230" t="s">
        <v>116</v>
      </c>
      <c r="C24" s="156" t="s">
        <v>23</v>
      </c>
      <c r="D24" s="160">
        <v>46023</v>
      </c>
      <c r="E24" s="158">
        <v>6093.44</v>
      </c>
      <c r="F24" s="159"/>
      <c r="G24" s="159">
        <f t="shared" si="2"/>
        <v>8017.6842105263149</v>
      </c>
      <c r="H24" s="159">
        <v>1606.68</v>
      </c>
      <c r="I24" s="159">
        <f t="shared" si="3"/>
        <v>1002.2105263157894</v>
      </c>
      <c r="J24" s="159"/>
      <c r="K24" s="232"/>
      <c r="L24" s="158">
        <v>124</v>
      </c>
      <c r="M24" s="159">
        <f t="shared" si="5"/>
        <v>2922.72</v>
      </c>
    </row>
    <row r="25" spans="1:13">
      <c r="A25" s="201" t="s">
        <v>63</v>
      </c>
      <c r="B25" s="230" t="s">
        <v>263</v>
      </c>
      <c r="C25" s="156" t="s">
        <v>23</v>
      </c>
      <c r="D25" s="160">
        <v>46023</v>
      </c>
      <c r="E25" s="158">
        <v>7501</v>
      </c>
      <c r="F25" s="170"/>
      <c r="G25" s="159">
        <f t="shared" si="2"/>
        <v>9869.7368421052633</v>
      </c>
      <c r="H25" s="158">
        <v>228.76</v>
      </c>
      <c r="I25" s="159">
        <f t="shared" si="3"/>
        <v>1233.7171052631579</v>
      </c>
      <c r="J25" s="158"/>
      <c r="K25" s="159"/>
      <c r="L25" s="158">
        <v>250.5</v>
      </c>
      <c r="M25" s="158">
        <f t="shared" si="5"/>
        <v>3500</v>
      </c>
    </row>
    <row r="26" spans="1:13">
      <c r="A26" s="201" t="s">
        <v>63</v>
      </c>
      <c r="B26" s="230" t="s">
        <v>120</v>
      </c>
      <c r="C26" s="156" t="s">
        <v>23</v>
      </c>
      <c r="D26" s="160">
        <v>46023</v>
      </c>
      <c r="E26" s="158">
        <v>6093.44</v>
      </c>
      <c r="F26" s="159"/>
      <c r="G26" s="159">
        <f t="shared" si="2"/>
        <v>8017.6842105263149</v>
      </c>
      <c r="H26" s="159">
        <v>396.07</v>
      </c>
      <c r="I26" s="159">
        <f t="shared" si="3"/>
        <v>1002.2105263157894</v>
      </c>
      <c r="J26" s="159"/>
      <c r="K26" s="159"/>
      <c r="L26" s="159">
        <v>124</v>
      </c>
      <c r="M26" s="159">
        <f t="shared" si="5"/>
        <v>2922.72</v>
      </c>
    </row>
    <row r="27" spans="1:13">
      <c r="A27" s="296" t="s">
        <v>63</v>
      </c>
      <c r="B27" s="230" t="s">
        <v>120</v>
      </c>
      <c r="C27" s="254" t="s">
        <v>23</v>
      </c>
      <c r="D27" s="160">
        <v>46023</v>
      </c>
      <c r="E27" s="159">
        <v>6093.44</v>
      </c>
      <c r="F27" s="159"/>
      <c r="G27" s="159">
        <v>7131.38</v>
      </c>
      <c r="H27" s="159">
        <v>396.07</v>
      </c>
      <c r="I27" s="159">
        <f t="shared" si="3"/>
        <v>1002.2105263157894</v>
      </c>
      <c r="J27" s="159"/>
      <c r="K27" s="159"/>
      <c r="L27" s="158">
        <v>124</v>
      </c>
      <c r="M27" s="159">
        <f t="shared" si="5"/>
        <v>2922.72</v>
      </c>
    </row>
    <row r="28" spans="1:13">
      <c r="A28" s="183" t="s">
        <v>63</v>
      </c>
      <c r="B28" s="201" t="s">
        <v>121</v>
      </c>
      <c r="C28" s="156" t="s">
        <v>23</v>
      </c>
      <c r="D28" s="160">
        <v>46023</v>
      </c>
      <c r="E28" s="159">
        <v>5725.32</v>
      </c>
      <c r="F28" s="170"/>
      <c r="G28" s="159">
        <f>E28/30.4*40</f>
        <v>7533.3157894736833</v>
      </c>
      <c r="H28" s="159">
        <v>265</v>
      </c>
      <c r="I28" s="159">
        <f t="shared" si="3"/>
        <v>941.66447368421041</v>
      </c>
      <c r="J28" s="170"/>
      <c r="K28" s="159"/>
      <c r="L28" s="170">
        <v>174.4</v>
      </c>
      <c r="M28" s="159">
        <f t="shared" si="5"/>
        <v>2688.2599999999998</v>
      </c>
    </row>
    <row r="29" spans="1:13">
      <c r="A29" s="201" t="s">
        <v>63</v>
      </c>
      <c r="B29" s="230" t="s">
        <v>261</v>
      </c>
      <c r="C29" s="156" t="s">
        <v>23</v>
      </c>
      <c r="D29" s="160">
        <v>46023</v>
      </c>
      <c r="E29" s="159">
        <v>6093.44</v>
      </c>
      <c r="F29" s="135"/>
      <c r="G29" s="122">
        <f>E29/30.4*40</f>
        <v>8017.6842105263149</v>
      </c>
      <c r="H29" s="122">
        <v>396.07</v>
      </c>
      <c r="I29" s="122">
        <f t="shared" si="3"/>
        <v>1002.2105263157894</v>
      </c>
      <c r="J29" s="135"/>
      <c r="K29" s="122"/>
      <c r="L29" s="170">
        <v>174.4</v>
      </c>
      <c r="M29" s="159">
        <f t="shared" si="5"/>
        <v>2872.3199999999997</v>
      </c>
    </row>
    <row r="30" spans="1:13">
      <c r="A30" s="117"/>
      <c r="B30" s="255"/>
      <c r="C30" s="118"/>
      <c r="D30" s="134"/>
      <c r="E30" s="122"/>
      <c r="F30" s="135"/>
      <c r="G30" s="122"/>
      <c r="H30" s="122"/>
      <c r="I30" s="122"/>
      <c r="J30" s="135"/>
      <c r="K30" s="122"/>
      <c r="L30" s="135"/>
      <c r="M30" s="122"/>
    </row>
    <row r="31" spans="1:13" ht="25.5">
      <c r="A31" s="143"/>
      <c r="B31" s="143"/>
      <c r="C31" s="163"/>
      <c r="D31" s="180" t="s">
        <v>28</v>
      </c>
      <c r="E31" s="181">
        <f>SUM(E9:E29)</f>
        <v>141021.58000000002</v>
      </c>
      <c r="F31" s="181">
        <f>SUM(F9:F29)*2</f>
        <v>1600</v>
      </c>
      <c r="G31" s="181">
        <f>SUM(G9:G29)</f>
        <v>184668.40631578947</v>
      </c>
      <c r="H31" s="181">
        <f>SUM(H9:H29)</f>
        <v>12287.659999999998</v>
      </c>
      <c r="I31" s="181">
        <f>SUM(I9:I29)</f>
        <v>23194.338815789473</v>
      </c>
      <c r="J31" s="181">
        <f>SUM(J10:J29)*2</f>
        <v>0</v>
      </c>
      <c r="K31" s="181">
        <f>SUM(K10:K29)*2</f>
        <v>0</v>
      </c>
      <c r="L31" s="181">
        <f>SUM(L9:L29)*2</f>
        <v>6313.08</v>
      </c>
      <c r="M31" s="181">
        <f>SUM(M9:M29)*2</f>
        <v>134087.84000000003</v>
      </c>
    </row>
    <row r="32" spans="1:13" ht="26.25" thickBot="1">
      <c r="A32" s="143"/>
      <c r="B32" s="143"/>
      <c r="C32" s="143"/>
      <c r="D32" s="166" t="s">
        <v>29</v>
      </c>
      <c r="E32" s="182">
        <f t="shared" ref="E32:J32" si="6">+E31*12</f>
        <v>1692258.9600000002</v>
      </c>
      <c r="F32" s="182">
        <f t="shared" si="6"/>
        <v>19200</v>
      </c>
      <c r="G32" s="182">
        <f t="shared" si="6"/>
        <v>2216020.8757894738</v>
      </c>
      <c r="H32" s="182">
        <f t="shared" si="6"/>
        <v>147451.91999999998</v>
      </c>
      <c r="I32" s="182">
        <f t="shared" si="6"/>
        <v>278332.06578947371</v>
      </c>
      <c r="J32" s="182">
        <f t="shared" si="6"/>
        <v>0</v>
      </c>
      <c r="K32" s="182"/>
      <c r="L32" s="182">
        <f>+L31*12</f>
        <v>75756.959999999992</v>
      </c>
      <c r="M32" s="182">
        <f>+M31*12</f>
        <v>1609054.0800000003</v>
      </c>
    </row>
    <row r="33" spans="1:17">
      <c r="A33" s="168" t="s">
        <v>30</v>
      </c>
      <c r="B33" s="143"/>
      <c r="C33" s="143"/>
      <c r="D33" s="143"/>
      <c r="E33" s="143"/>
      <c r="F33" s="143"/>
      <c r="G33" s="143"/>
      <c r="H33" s="143"/>
      <c r="I33" s="143" t="s">
        <v>122</v>
      </c>
      <c r="J33" s="143"/>
      <c r="K33" s="143"/>
      <c r="L33" s="143"/>
      <c r="M33" s="143"/>
    </row>
    <row r="34" spans="1:17">
      <c r="A34" s="168" t="s">
        <v>31</v>
      </c>
      <c r="B34" s="143"/>
      <c r="C34" s="143"/>
      <c r="D34" s="143"/>
      <c r="E34" s="169"/>
      <c r="F34" s="143"/>
      <c r="G34" s="143"/>
      <c r="H34" s="143"/>
      <c r="I34" s="143"/>
      <c r="J34" s="143"/>
      <c r="K34" s="143"/>
      <c r="L34" s="143"/>
      <c r="M34" s="143"/>
    </row>
    <row r="35" spans="1:17">
      <c r="A35" s="168" t="s">
        <v>32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</row>
    <row r="36" spans="1:17">
      <c r="A36" s="168" t="s">
        <v>33</v>
      </c>
      <c r="B36" s="143"/>
      <c r="C36" s="143"/>
      <c r="D36" s="143"/>
      <c r="E36" s="169"/>
      <c r="F36" s="143"/>
      <c r="G36" s="169"/>
      <c r="H36" s="143"/>
      <c r="I36" s="169"/>
      <c r="J36" s="143"/>
      <c r="K36" s="169"/>
      <c r="L36" s="169"/>
      <c r="M36" s="143"/>
    </row>
    <row r="37" spans="1:17">
      <c r="A37" s="168" t="s">
        <v>34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</row>
    <row r="40" spans="1:17" ht="15.75">
      <c r="A40" s="323" t="s">
        <v>0</v>
      </c>
      <c r="B40" s="324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</row>
    <row r="41" spans="1:17" ht="15.75" thickBot="1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</row>
    <row r="42" spans="1:17">
      <c r="A42" s="136" t="s">
        <v>1</v>
      </c>
      <c r="B42" s="292"/>
      <c r="C42" s="138"/>
      <c r="D42" s="200"/>
      <c r="E42" s="200"/>
      <c r="F42" s="200"/>
      <c r="G42" s="200"/>
      <c r="H42" s="350" t="s">
        <v>35</v>
      </c>
      <c r="I42" s="326"/>
      <c r="J42" s="326"/>
      <c r="K42" s="326"/>
      <c r="L42" s="326"/>
      <c r="M42" s="327"/>
    </row>
    <row r="43" spans="1:17" ht="15.75" thickBot="1">
      <c r="A43" s="328" t="s">
        <v>246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51"/>
    </row>
    <row r="44" spans="1:17" ht="15.75" thickBot="1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</row>
    <row r="45" spans="1:17">
      <c r="A45" s="330" t="s">
        <v>4</v>
      </c>
      <c r="B45" s="332" t="s">
        <v>5</v>
      </c>
      <c r="C45" s="332" t="s">
        <v>6</v>
      </c>
      <c r="D45" s="332" t="s">
        <v>7</v>
      </c>
      <c r="E45" s="332" t="s">
        <v>8</v>
      </c>
      <c r="F45" s="332" t="s">
        <v>9</v>
      </c>
      <c r="G45" s="332" t="s">
        <v>10</v>
      </c>
      <c r="H45" s="332" t="s">
        <v>11</v>
      </c>
      <c r="I45" s="332" t="s">
        <v>12</v>
      </c>
      <c r="J45" s="332" t="s">
        <v>13</v>
      </c>
      <c r="K45" s="332" t="s">
        <v>14</v>
      </c>
      <c r="L45" s="332" t="s">
        <v>15</v>
      </c>
      <c r="M45" s="321" t="s">
        <v>81</v>
      </c>
    </row>
    <row r="46" spans="1:17" ht="15.75" thickBot="1">
      <c r="A46" s="331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22"/>
    </row>
    <row r="47" spans="1:17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6"/>
      <c r="L47" s="256"/>
      <c r="M47" s="257"/>
    </row>
    <row r="48" spans="1:17">
      <c r="A48" s="297" t="s">
        <v>63</v>
      </c>
      <c r="B48" s="201" t="s">
        <v>247</v>
      </c>
      <c r="C48" s="156" t="s">
        <v>19</v>
      </c>
      <c r="D48" s="160">
        <v>46023</v>
      </c>
      <c r="E48" s="158">
        <v>12006.34</v>
      </c>
      <c r="F48" s="249"/>
      <c r="G48" s="159">
        <f t="shared" ref="G48:G54" si="7">E48/30.4*40</f>
        <v>15797.815789473683</v>
      </c>
      <c r="H48" s="159">
        <v>3109.9</v>
      </c>
      <c r="I48" s="159">
        <f t="shared" ref="I48:I54" si="8">E48/30.4*20*0.25</f>
        <v>1974.7269736842104</v>
      </c>
      <c r="J48" s="249"/>
      <c r="K48" s="250">
        <v>219.14</v>
      </c>
      <c r="L48" s="251">
        <v>516.84</v>
      </c>
      <c r="M48" s="252">
        <f>+(E48/2)-K48-L48</f>
        <v>5267.19</v>
      </c>
      <c r="N48" s="294"/>
      <c r="Q48" s="294"/>
    </row>
    <row r="49" spans="1:13" ht="24">
      <c r="A49" s="155" t="s">
        <v>125</v>
      </c>
      <c r="B49" s="201" t="s">
        <v>126</v>
      </c>
      <c r="C49" s="156" t="s">
        <v>23</v>
      </c>
      <c r="D49" s="160">
        <v>43405</v>
      </c>
      <c r="E49" s="158">
        <v>7969.33</v>
      </c>
      <c r="F49" s="159">
        <v>400</v>
      </c>
      <c r="G49" s="159">
        <f t="shared" si="7"/>
        <v>10485.96052631579</v>
      </c>
      <c r="H49" s="159">
        <v>573.76</v>
      </c>
      <c r="I49" s="159">
        <f t="shared" si="8"/>
        <v>1310.7450657894738</v>
      </c>
      <c r="J49" s="159"/>
      <c r="K49" s="159">
        <v>100.71</v>
      </c>
      <c r="L49" s="258">
        <v>166.03</v>
      </c>
      <c r="M49" s="259">
        <f t="shared" ref="M49:M53" si="9">+(E49/2)-K49-L49</f>
        <v>3717.9249999999997</v>
      </c>
    </row>
    <row r="50" spans="1:13" ht="24">
      <c r="A50" s="155" t="s">
        <v>127</v>
      </c>
      <c r="B50" s="230" t="s">
        <v>128</v>
      </c>
      <c r="C50" s="156" t="s">
        <v>23</v>
      </c>
      <c r="D50" s="160">
        <v>43344</v>
      </c>
      <c r="E50" s="159">
        <v>5247.46</v>
      </c>
      <c r="F50" s="159"/>
      <c r="G50" s="159">
        <f t="shared" si="7"/>
        <v>6904.5526315789484</v>
      </c>
      <c r="H50" s="159">
        <v>240.71</v>
      </c>
      <c r="I50" s="159">
        <f t="shared" si="8"/>
        <v>863.06907894736855</v>
      </c>
      <c r="J50" s="159"/>
      <c r="K50" s="159"/>
      <c r="L50" s="158"/>
      <c r="M50" s="259">
        <f t="shared" si="9"/>
        <v>2623.73</v>
      </c>
    </row>
    <row r="51" spans="1:13" ht="24">
      <c r="A51" s="155" t="s">
        <v>129</v>
      </c>
      <c r="B51" s="230" t="s">
        <v>101</v>
      </c>
      <c r="C51" s="156" t="s">
        <v>23</v>
      </c>
      <c r="D51" s="160">
        <v>43344</v>
      </c>
      <c r="E51" s="159">
        <v>5632.22</v>
      </c>
      <c r="F51" s="159"/>
      <c r="G51" s="159">
        <f t="shared" si="7"/>
        <v>7410.8157894736851</v>
      </c>
      <c r="H51" s="159">
        <v>226.76</v>
      </c>
      <c r="I51" s="159">
        <f t="shared" si="8"/>
        <v>926.35197368421063</v>
      </c>
      <c r="J51" s="159"/>
      <c r="K51" s="159"/>
      <c r="L51" s="158">
        <v>16.11</v>
      </c>
      <c r="M51" s="259">
        <f t="shared" si="9"/>
        <v>2800</v>
      </c>
    </row>
    <row r="52" spans="1:13" ht="15.75" thickBot="1">
      <c r="A52" s="155" t="s">
        <v>63</v>
      </c>
      <c r="B52" s="230" t="s">
        <v>130</v>
      </c>
      <c r="C52" s="156" t="s">
        <v>23</v>
      </c>
      <c r="D52" s="160">
        <v>46023</v>
      </c>
      <c r="E52" s="159">
        <v>5248</v>
      </c>
      <c r="F52" s="159">
        <v>400</v>
      </c>
      <c r="G52" s="159">
        <f t="shared" si="7"/>
        <v>6905.2631578947376</v>
      </c>
      <c r="H52" s="159">
        <v>234.42</v>
      </c>
      <c r="I52" s="159">
        <f t="shared" si="8"/>
        <v>863.1578947368422</v>
      </c>
      <c r="J52" s="159"/>
      <c r="K52" s="159"/>
      <c r="L52" s="159">
        <v>124</v>
      </c>
      <c r="M52" s="259">
        <f t="shared" si="9"/>
        <v>2500</v>
      </c>
    </row>
    <row r="53" spans="1:13">
      <c r="A53" s="155" t="s">
        <v>131</v>
      </c>
      <c r="B53" s="230" t="s">
        <v>101</v>
      </c>
      <c r="C53" s="156" t="s">
        <v>23</v>
      </c>
      <c r="D53" s="260">
        <v>45536</v>
      </c>
      <c r="E53" s="159">
        <v>5632.22</v>
      </c>
      <c r="F53" s="159"/>
      <c r="G53" s="159">
        <f t="shared" si="7"/>
        <v>7410.8157894736851</v>
      </c>
      <c r="H53" s="159">
        <v>226.76</v>
      </c>
      <c r="I53" s="159">
        <f t="shared" si="8"/>
        <v>926.35197368421063</v>
      </c>
      <c r="J53" s="159"/>
      <c r="K53" s="159"/>
      <c r="L53" s="158">
        <v>16.11</v>
      </c>
      <c r="M53" s="259">
        <f t="shared" si="9"/>
        <v>2800</v>
      </c>
    </row>
    <row r="54" spans="1:13">
      <c r="A54" s="183" t="s">
        <v>63</v>
      </c>
      <c r="B54" s="201" t="s">
        <v>132</v>
      </c>
      <c r="C54" s="156" t="s">
        <v>19</v>
      </c>
      <c r="D54" s="160">
        <v>46023</v>
      </c>
      <c r="E54" s="158">
        <v>6000</v>
      </c>
      <c r="F54" s="159"/>
      <c r="G54" s="159">
        <f t="shared" si="7"/>
        <v>7894.7368421052633</v>
      </c>
      <c r="H54" s="202">
        <v>773.73</v>
      </c>
      <c r="I54" s="159">
        <f t="shared" si="8"/>
        <v>986.84210526315792</v>
      </c>
      <c r="J54" s="159">
        <v>0</v>
      </c>
      <c r="K54" s="159"/>
      <c r="L54" s="158">
        <v>0</v>
      </c>
      <c r="M54" s="203">
        <f>+E54/2</f>
        <v>3000</v>
      </c>
    </row>
    <row r="55" spans="1:13" ht="15.75" thickBot="1">
      <c r="A55" s="117"/>
      <c r="B55" s="117"/>
      <c r="C55" s="118"/>
      <c r="D55" s="134"/>
      <c r="E55" s="120"/>
      <c r="F55" s="122"/>
      <c r="G55" s="122"/>
      <c r="H55" s="261"/>
      <c r="I55" s="122"/>
      <c r="J55" s="122"/>
      <c r="K55" s="122"/>
      <c r="L55" s="120"/>
      <c r="M55" s="262"/>
    </row>
    <row r="56" spans="1:13" ht="26.25" thickBot="1">
      <c r="A56" s="143"/>
      <c r="B56" s="143"/>
      <c r="C56" s="163"/>
      <c r="D56" s="164" t="s">
        <v>28</v>
      </c>
      <c r="E56" s="233">
        <f t="shared" ref="E56:J56" si="10">+SUM(E48:E54)</f>
        <v>47735.57</v>
      </c>
      <c r="F56" s="233">
        <f t="shared" si="10"/>
        <v>800</v>
      </c>
      <c r="G56" s="233">
        <f t="shared" si="10"/>
        <v>62809.960526315801</v>
      </c>
      <c r="H56" s="233">
        <f t="shared" si="10"/>
        <v>5386.0400000000009</v>
      </c>
      <c r="I56" s="233">
        <f t="shared" si="10"/>
        <v>7851.2450657894751</v>
      </c>
      <c r="J56" s="233">
        <f t="shared" si="10"/>
        <v>0</v>
      </c>
      <c r="K56" s="233">
        <f>+SUM(K48:K54)*2</f>
        <v>639.69999999999993</v>
      </c>
      <c r="L56" s="233">
        <f>+SUM(L48:L54)*2</f>
        <v>1678.18</v>
      </c>
      <c r="M56" s="233">
        <f>+SUM(M48:M54)*2</f>
        <v>45417.69</v>
      </c>
    </row>
    <row r="57" spans="1:13" ht="26.25" thickBot="1">
      <c r="A57" s="143"/>
      <c r="B57" s="143"/>
      <c r="C57" s="143"/>
      <c r="D57" s="166" t="s">
        <v>29</v>
      </c>
      <c r="E57" s="182">
        <f>E56*12</f>
        <v>572826.84</v>
      </c>
      <c r="F57" s="182">
        <f>+F56*4</f>
        <v>3200</v>
      </c>
      <c r="G57" s="182">
        <f>SUM(G49:G54)</f>
        <v>47012.144736842107</v>
      </c>
      <c r="H57" s="182">
        <f>SUM(H49:H54)</f>
        <v>2276.1400000000003</v>
      </c>
      <c r="I57" s="182">
        <f>SUM(I49:I54)</f>
        <v>5876.5180921052633</v>
      </c>
      <c r="J57" s="233">
        <f>J56*12</f>
        <v>0</v>
      </c>
      <c r="K57" s="182">
        <f>K56*12</f>
        <v>7676.4</v>
      </c>
      <c r="L57" s="182">
        <f>L56*12</f>
        <v>20138.16</v>
      </c>
      <c r="M57" s="263">
        <f>+M56*12</f>
        <v>545012.28</v>
      </c>
    </row>
    <row r="58" spans="1:13">
      <c r="A58" s="168" t="s">
        <v>30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</row>
    <row r="59" spans="1:13">
      <c r="A59" s="168" t="s">
        <v>31</v>
      </c>
      <c r="B59" s="143"/>
      <c r="C59" s="143"/>
      <c r="D59" s="143"/>
      <c r="E59" s="169"/>
      <c r="F59" s="143"/>
      <c r="G59" s="143"/>
      <c r="H59" s="143"/>
      <c r="I59" s="143"/>
      <c r="J59" s="143"/>
      <c r="K59" s="143"/>
      <c r="L59" s="143"/>
      <c r="M59" s="143"/>
    </row>
    <row r="60" spans="1:13">
      <c r="A60" s="168" t="s">
        <v>32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</row>
    <row r="61" spans="1:13">
      <c r="A61" s="168" t="s">
        <v>33</v>
      </c>
      <c r="B61" s="143"/>
      <c r="C61" s="143"/>
      <c r="D61" s="143"/>
      <c r="E61" s="143"/>
      <c r="F61" s="169"/>
      <c r="G61" s="169"/>
      <c r="H61" s="143"/>
      <c r="I61" s="143"/>
      <c r="J61" s="143"/>
      <c r="K61" s="143"/>
      <c r="L61" s="143"/>
      <c r="M61" s="143"/>
    </row>
    <row r="62" spans="1:13">
      <c r="A62" s="168" t="s">
        <v>34</v>
      </c>
      <c r="B62" s="143"/>
      <c r="C62" s="143"/>
      <c r="D62" s="143"/>
      <c r="E62" s="169"/>
      <c r="F62" s="143"/>
      <c r="G62" s="169"/>
      <c r="H62" s="143"/>
      <c r="I62" s="169"/>
      <c r="J62" s="143"/>
      <c r="K62" s="169"/>
      <c r="L62" s="169"/>
      <c r="M62" s="143"/>
    </row>
  </sheetData>
  <mergeCells count="31">
    <mergeCell ref="M45:M46"/>
    <mergeCell ref="A40:M40"/>
    <mergeCell ref="H42:M42"/>
    <mergeCell ref="A43:M43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A1:M1"/>
    <mergeCell ref="I3:M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ageMargins left="0.25" right="0.25" top="0.75" bottom="0.75" header="0.3" footer="0.3"/>
  <pageSetup paperSize="305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80" zoomScaleNormal="80" workbookViewId="0">
      <selection activeCell="B10" sqref="B10"/>
    </sheetView>
  </sheetViews>
  <sheetFormatPr baseColWidth="10" defaultRowHeight="15"/>
  <cols>
    <col min="1" max="1" width="33.7109375" customWidth="1"/>
    <col min="2" max="2" width="17" bestFit="1" customWidth="1"/>
    <col min="5" max="5" width="13.5703125" customWidth="1"/>
    <col min="7" max="7" width="13.5703125" customWidth="1"/>
    <col min="12" max="12" width="13.42578125" customWidth="1"/>
    <col min="13" max="13" width="14.140625" customWidth="1"/>
  </cols>
  <sheetData>
    <row r="1" spans="1:13" ht="15.75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5.75" thickBo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99"/>
    </row>
    <row r="3" spans="1:13">
      <c r="A3" s="136" t="s">
        <v>1</v>
      </c>
      <c r="B3" s="200"/>
      <c r="C3" s="138"/>
      <c r="D3" s="200"/>
      <c r="E3" s="200"/>
      <c r="F3" s="200"/>
      <c r="G3" s="200"/>
      <c r="H3" s="200"/>
      <c r="I3" s="325" t="s">
        <v>35</v>
      </c>
      <c r="J3" s="326"/>
      <c r="K3" s="326"/>
      <c r="L3" s="326"/>
      <c r="M3" s="327"/>
    </row>
    <row r="4" spans="1:13" ht="15.75" thickBot="1">
      <c r="A4" s="139" t="s">
        <v>271</v>
      </c>
      <c r="B4" s="140"/>
      <c r="C4" s="140"/>
      <c r="D4" s="140"/>
      <c r="E4" s="140"/>
      <c r="F4" s="141"/>
      <c r="G4" s="141"/>
      <c r="H4" s="141"/>
      <c r="I4" s="141"/>
      <c r="J4" s="141"/>
      <c r="K4" s="141"/>
      <c r="L4" s="141"/>
      <c r="M4" s="142"/>
    </row>
    <row r="5" spans="1:13" ht="15.75" thickBo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>
      <c r="A6" s="330" t="s">
        <v>4</v>
      </c>
      <c r="B6" s="332" t="s">
        <v>5</v>
      </c>
      <c r="C6" s="332" t="s">
        <v>6</v>
      </c>
      <c r="D6" s="332" t="s">
        <v>7</v>
      </c>
      <c r="E6" s="332" t="s">
        <v>8</v>
      </c>
      <c r="F6" s="332" t="s">
        <v>9</v>
      </c>
      <c r="G6" s="332" t="s">
        <v>10</v>
      </c>
      <c r="H6" s="332" t="s">
        <v>11</v>
      </c>
      <c r="I6" s="332" t="s">
        <v>12</v>
      </c>
      <c r="J6" s="332" t="s">
        <v>13</v>
      </c>
      <c r="K6" s="332" t="s">
        <v>14</v>
      </c>
      <c r="L6" s="332" t="s">
        <v>15</v>
      </c>
      <c r="M6" s="321" t="s">
        <v>81</v>
      </c>
    </row>
    <row r="7" spans="1:13" ht="15.75" thickBot="1">
      <c r="A7" s="331"/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22"/>
    </row>
    <row r="8" spans="1:13">
      <c r="A8" s="143"/>
      <c r="B8" s="143"/>
      <c r="C8" s="154"/>
      <c r="D8" s="143"/>
      <c r="E8" s="143"/>
      <c r="F8" s="143"/>
      <c r="G8" s="143"/>
      <c r="H8" s="199"/>
      <c r="I8" s="143"/>
      <c r="J8" s="143"/>
      <c r="K8" s="143"/>
      <c r="L8" s="143"/>
      <c r="M8" s="143"/>
    </row>
    <row r="9" spans="1:13">
      <c r="A9" s="111" t="s">
        <v>123</v>
      </c>
      <c r="B9" s="17" t="s">
        <v>124</v>
      </c>
      <c r="C9" s="63" t="s">
        <v>19</v>
      </c>
      <c r="D9" s="64">
        <v>45536</v>
      </c>
      <c r="E9" s="65">
        <f>6003.17*2</f>
        <v>12006.34</v>
      </c>
      <c r="F9" s="67"/>
      <c r="G9" s="67">
        <f>E9/30.4*40</f>
        <v>15797.815789473683</v>
      </c>
      <c r="H9" s="67">
        <v>3465.7</v>
      </c>
      <c r="I9" s="67">
        <f>E9/30.4*20*0.25</f>
        <v>1974.7269736842104</v>
      </c>
      <c r="J9" s="67"/>
      <c r="K9" s="67">
        <v>219.14</v>
      </c>
      <c r="L9" s="65">
        <v>516.84</v>
      </c>
      <c r="M9" s="129">
        <f>+(E9/2)-K9-L9</f>
        <v>5267.19</v>
      </c>
    </row>
    <row r="10" spans="1:13" ht="15.75" thickBot="1">
      <c r="A10" s="207"/>
      <c r="B10" s="208"/>
      <c r="C10" s="209"/>
      <c r="D10" s="208"/>
      <c r="E10" s="208"/>
      <c r="F10" s="208"/>
      <c r="G10" s="208"/>
      <c r="H10" s="199"/>
      <c r="I10" s="208"/>
      <c r="J10" s="208"/>
      <c r="K10" s="208"/>
      <c r="L10" s="208"/>
      <c r="M10" s="210"/>
    </row>
    <row r="11" spans="1:13" ht="25.5">
      <c r="A11" s="143"/>
      <c r="B11" s="143"/>
      <c r="C11" s="163"/>
      <c r="D11" s="180" t="s">
        <v>28</v>
      </c>
      <c r="E11" s="181">
        <f>+E9</f>
        <v>12006.34</v>
      </c>
      <c r="F11" s="181">
        <f>SUM(F1:F10)</f>
        <v>0</v>
      </c>
      <c r="G11" s="211">
        <f>+G9/12</f>
        <v>1316.484649122807</v>
      </c>
      <c r="H11" s="212">
        <f>+H12/12</f>
        <v>288.80833333333334</v>
      </c>
      <c r="I11" s="213">
        <f>+I12/2</f>
        <v>987.3634868421052</v>
      </c>
      <c r="J11" s="181">
        <f>SUM(J1:J10)</f>
        <v>0</v>
      </c>
      <c r="K11" s="181">
        <f>SUM(K1:K10)*2</f>
        <v>438.28</v>
      </c>
      <c r="L11" s="181">
        <f>+L9*2</f>
        <v>1033.68</v>
      </c>
      <c r="M11" s="181">
        <f>SUM(M1:M10)*2</f>
        <v>10534.38</v>
      </c>
    </row>
    <row r="12" spans="1:13" ht="26.25" thickBot="1">
      <c r="A12" s="143"/>
      <c r="B12" s="143"/>
      <c r="C12" s="143"/>
      <c r="D12" s="166" t="s">
        <v>29</v>
      </c>
      <c r="E12" s="182">
        <f>+E11*12</f>
        <v>144076.08000000002</v>
      </c>
      <c r="F12" s="182">
        <f>+F11*12</f>
        <v>0</v>
      </c>
      <c r="G12" s="214">
        <f>+G9</f>
        <v>15797.815789473683</v>
      </c>
      <c r="H12" s="214">
        <f>+H9</f>
        <v>3465.7</v>
      </c>
      <c r="I12" s="214">
        <f>+I9</f>
        <v>1974.7269736842104</v>
      </c>
      <c r="J12" s="182">
        <f>+J11*12</f>
        <v>0</v>
      </c>
      <c r="K12" s="182">
        <f>+K11*12</f>
        <v>5259.36</v>
      </c>
      <c r="L12" s="182">
        <f>+L11*12</f>
        <v>12404.16</v>
      </c>
      <c r="M12" s="182">
        <f>+M11*12</f>
        <v>126412.56</v>
      </c>
    </row>
    <row r="13" spans="1:13" s="199" customFormat="1">
      <c r="A13" s="168" t="s">
        <v>30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s="199" customFormat="1">
      <c r="A14" s="168" t="s">
        <v>31</v>
      </c>
      <c r="B14" s="143"/>
      <c r="C14" s="143"/>
      <c r="D14" s="143"/>
      <c r="E14" s="169"/>
      <c r="F14" s="143"/>
      <c r="G14" s="143"/>
      <c r="H14" s="143"/>
      <c r="I14" s="143"/>
      <c r="J14" s="143"/>
      <c r="K14" s="143"/>
      <c r="L14" s="143"/>
    </row>
    <row r="15" spans="1:13" s="199" customFormat="1">
      <c r="A15" s="168" t="s">
        <v>32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</row>
    <row r="16" spans="1:13" s="199" customFormat="1">
      <c r="A16" s="168" t="s">
        <v>33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</row>
    <row r="17" spans="1:13" s="199" customFormat="1">
      <c r="A17" s="168" t="s">
        <v>34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mergeCells count="15">
    <mergeCell ref="A1:M1"/>
    <mergeCell ref="I3:M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ageMargins left="0.25" right="0.25" top="0.75" bottom="0.75" header="0.3" footer="0.3"/>
  <pageSetup paperSize="305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60" zoomScaleNormal="60" workbookViewId="0">
      <selection activeCell="B13" sqref="B13"/>
    </sheetView>
  </sheetViews>
  <sheetFormatPr baseColWidth="10" defaultColWidth="11.42578125" defaultRowHeight="15"/>
  <cols>
    <col min="1" max="1" width="40.7109375" style="199" customWidth="1"/>
    <col min="2" max="2" width="25.28515625" style="199" customWidth="1"/>
    <col min="3" max="4" width="11.42578125" style="199"/>
    <col min="5" max="5" width="14.5703125" style="199" customWidth="1"/>
    <col min="6" max="12" width="11.42578125" style="199"/>
    <col min="13" max="13" width="14.7109375" style="199" customWidth="1"/>
    <col min="14" max="16384" width="11.42578125" style="199"/>
  </cols>
  <sheetData>
    <row r="1" spans="1:13" ht="15.75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5.75" thickBo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>
      <c r="A3" s="136" t="s">
        <v>1</v>
      </c>
      <c r="B3" s="200"/>
      <c r="C3" s="138"/>
      <c r="D3" s="200"/>
      <c r="E3" s="200"/>
      <c r="F3" s="200"/>
      <c r="G3" s="200"/>
      <c r="H3" s="200"/>
      <c r="I3" s="325" t="s">
        <v>35</v>
      </c>
      <c r="J3" s="326"/>
      <c r="K3" s="326"/>
      <c r="L3" s="326"/>
      <c r="M3" s="327"/>
    </row>
    <row r="4" spans="1:13" ht="15.75" thickBot="1">
      <c r="A4" s="328" t="s">
        <v>133</v>
      </c>
      <c r="B4" s="329"/>
      <c r="C4" s="329"/>
      <c r="D4" s="329"/>
      <c r="E4" s="141"/>
      <c r="F4" s="141"/>
      <c r="G4" s="141"/>
      <c r="H4" s="141"/>
      <c r="I4" s="141"/>
      <c r="J4" s="141"/>
      <c r="K4" s="141"/>
      <c r="L4" s="141"/>
      <c r="M4" s="142"/>
    </row>
    <row r="5" spans="1:13" ht="15.75" thickBo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>
      <c r="A6" s="330" t="s">
        <v>4</v>
      </c>
      <c r="B6" s="332" t="s">
        <v>5</v>
      </c>
      <c r="C6" s="332" t="s">
        <v>6</v>
      </c>
      <c r="D6" s="332" t="s">
        <v>7</v>
      </c>
      <c r="E6" s="332" t="s">
        <v>8</v>
      </c>
      <c r="F6" s="332" t="s">
        <v>9</v>
      </c>
      <c r="G6" s="332" t="s">
        <v>10</v>
      </c>
      <c r="H6" s="332" t="s">
        <v>11</v>
      </c>
      <c r="I6" s="332" t="s">
        <v>12</v>
      </c>
      <c r="J6" s="332" t="s">
        <v>13</v>
      </c>
      <c r="K6" s="332" t="s">
        <v>14</v>
      </c>
      <c r="L6" s="332" t="s">
        <v>15</v>
      </c>
      <c r="M6" s="321" t="s">
        <v>16</v>
      </c>
    </row>
    <row r="7" spans="1:13" ht="15.75" thickBot="1">
      <c r="A7" s="331"/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22"/>
    </row>
    <row r="8" spans="1:13" ht="15.75" thickBot="1">
      <c r="A8" s="143"/>
      <c r="B8" s="143"/>
      <c r="C8" s="154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9" spans="1:13" ht="15.75" thickBot="1">
      <c r="A9" s="155" t="s">
        <v>63</v>
      </c>
      <c r="B9" s="201" t="s">
        <v>272</v>
      </c>
      <c r="C9" s="156" t="s">
        <v>19</v>
      </c>
      <c r="D9" s="240">
        <v>44440</v>
      </c>
      <c r="E9" s="158">
        <f>6130.77*2</f>
        <v>12261.54</v>
      </c>
      <c r="F9" s="159"/>
      <c r="G9" s="159">
        <f>E9/30.4*40</f>
        <v>16133.605263157897</v>
      </c>
      <c r="H9" s="159">
        <v>2497.71</v>
      </c>
      <c r="I9" s="159">
        <f>E9/30.4*20*0.25</f>
        <v>2016.7006578947371</v>
      </c>
      <c r="J9" s="159"/>
      <c r="K9" s="159">
        <v>136.97</v>
      </c>
      <c r="L9" s="158">
        <v>543.53</v>
      </c>
      <c r="M9" s="128">
        <f>+(E9/2)-K9-L9</f>
        <v>5450.27</v>
      </c>
    </row>
    <row r="10" spans="1:13" ht="15.75" thickBot="1">
      <c r="A10" s="155" t="s">
        <v>134</v>
      </c>
      <c r="B10" s="201" t="s">
        <v>135</v>
      </c>
      <c r="C10" s="156" t="s">
        <v>23</v>
      </c>
      <c r="D10" s="240">
        <v>43374</v>
      </c>
      <c r="E10" s="158">
        <v>8874.18</v>
      </c>
      <c r="F10" s="159"/>
      <c r="G10" s="159">
        <f>E10/30.4*40</f>
        <v>11676.552631578947</v>
      </c>
      <c r="H10" s="159">
        <v>703.22</v>
      </c>
      <c r="I10" s="159">
        <f>E10/30.4*20*0.25</f>
        <v>1459.5690789473683</v>
      </c>
      <c r="J10" s="159"/>
      <c r="K10" s="159"/>
      <c r="L10" s="158">
        <v>215.26</v>
      </c>
      <c r="M10" s="128">
        <f t="shared" ref="M10:M13" si="0">+(E10/2)-K10-L10</f>
        <v>4221.83</v>
      </c>
    </row>
    <row r="11" spans="1:13" ht="15.75" thickBot="1">
      <c r="A11" s="155" t="s">
        <v>63</v>
      </c>
      <c r="B11" s="201" t="s">
        <v>267</v>
      </c>
      <c r="C11" s="156" t="s">
        <v>23</v>
      </c>
      <c r="D11" s="264">
        <v>46023</v>
      </c>
      <c r="E11" s="158">
        <v>6094.12</v>
      </c>
      <c r="F11" s="170"/>
      <c r="G11" s="159">
        <f>E11/30.4*40</f>
        <v>8018.5789473684217</v>
      </c>
      <c r="H11" s="158">
        <v>557.78</v>
      </c>
      <c r="I11" s="159">
        <f>E11/30.4*20*0.25</f>
        <v>1002.3223684210527</v>
      </c>
      <c r="J11" s="158"/>
      <c r="K11" s="159"/>
      <c r="L11" s="158">
        <v>30.87</v>
      </c>
      <c r="M11" s="128">
        <f t="shared" si="0"/>
        <v>3016.19</v>
      </c>
    </row>
    <row r="12" spans="1:13" ht="15.75" thickBot="1">
      <c r="A12" s="170" t="s">
        <v>136</v>
      </c>
      <c r="B12" s="266" t="s">
        <v>273</v>
      </c>
      <c r="C12" s="254" t="s">
        <v>23</v>
      </c>
      <c r="D12" s="267">
        <v>46023</v>
      </c>
      <c r="E12" s="237">
        <f>4537.16*2</f>
        <v>9074.32</v>
      </c>
      <c r="F12" s="237"/>
      <c r="G12" s="237">
        <f>E12/30.4*40</f>
        <v>11939.894736842105</v>
      </c>
      <c r="H12" s="237">
        <v>561.49</v>
      </c>
      <c r="I12" s="237">
        <f>E12/30.4*20*0.25</f>
        <v>1492.4868421052631</v>
      </c>
      <c r="J12" s="237"/>
      <c r="K12" s="237">
        <v>136.97</v>
      </c>
      <c r="L12" s="268">
        <v>336.16</v>
      </c>
      <c r="M12" s="128">
        <f t="shared" si="0"/>
        <v>4064.0299999999997</v>
      </c>
    </row>
    <row r="13" spans="1:13" ht="15.75" thickBot="1">
      <c r="A13" s="116" t="s">
        <v>63</v>
      </c>
      <c r="B13" s="170" t="s">
        <v>137</v>
      </c>
      <c r="C13" s="170" t="s">
        <v>23</v>
      </c>
      <c r="D13" s="267">
        <v>45658</v>
      </c>
      <c r="E13" s="158">
        <v>6291.94</v>
      </c>
      <c r="F13" s="158"/>
      <c r="G13" s="158">
        <f>E13/30.4*40</f>
        <v>8278.8684210526317</v>
      </c>
      <c r="H13" s="158">
        <v>561.49</v>
      </c>
      <c r="I13" s="158">
        <f>E13/30.4*20*0.25</f>
        <v>1034.858552631579</v>
      </c>
      <c r="J13" s="158"/>
      <c r="K13" s="158"/>
      <c r="L13" s="158">
        <v>48.81</v>
      </c>
      <c r="M13" s="128">
        <f t="shared" si="0"/>
        <v>3097.16</v>
      </c>
    </row>
    <row r="14" spans="1:13" ht="15.75" thickBot="1">
      <c r="A14" s="131"/>
      <c r="B14" s="131"/>
      <c r="C14" s="131"/>
      <c r="D14" s="132"/>
      <c r="E14" s="120"/>
      <c r="F14" s="120"/>
      <c r="G14" s="120"/>
      <c r="H14" s="120"/>
      <c r="I14" s="120"/>
      <c r="J14" s="120"/>
      <c r="K14" s="120"/>
      <c r="L14" s="120"/>
      <c r="M14" s="128"/>
    </row>
    <row r="15" spans="1:13" ht="25.5">
      <c r="A15" s="143"/>
      <c r="B15" s="143"/>
      <c r="C15" s="163"/>
      <c r="D15" s="180" t="s">
        <v>28</v>
      </c>
      <c r="E15" s="181">
        <f>SUM(E9:E13)</f>
        <v>42596.100000000006</v>
      </c>
      <c r="F15" s="181">
        <f>SUM(F9:F12)</f>
        <v>0</v>
      </c>
      <c r="G15" s="181">
        <f>+G16/12</f>
        <v>4670.6250000000009</v>
      </c>
      <c r="H15" s="181">
        <f>+H16/12</f>
        <v>406.80749999999995</v>
      </c>
      <c r="I15" s="181">
        <f>+I16/2</f>
        <v>3502.9687500000005</v>
      </c>
      <c r="J15" s="181">
        <f>SUM(J9:J12)</f>
        <v>0</v>
      </c>
      <c r="K15" s="128">
        <f t="shared" ref="K15" si="1">+SUM(K9:K13)*2</f>
        <v>547.88</v>
      </c>
      <c r="L15" s="128">
        <f>+SUM(L9:L13)*2</f>
        <v>2349.2599999999998</v>
      </c>
      <c r="M15" s="128">
        <f>+SUM(M9:M13)*2</f>
        <v>39698.959999999999</v>
      </c>
    </row>
    <row r="16" spans="1:13" ht="15.75" thickBot="1">
      <c r="A16" s="143"/>
      <c r="B16" s="143"/>
      <c r="C16" s="143"/>
      <c r="D16" s="269"/>
      <c r="E16" s="182">
        <f>+E15*12</f>
        <v>511153.20000000007</v>
      </c>
      <c r="F16" s="182">
        <f>+F15*12</f>
        <v>0</v>
      </c>
      <c r="G16" s="182">
        <f>SUM(G9:G13)</f>
        <v>56047.500000000007</v>
      </c>
      <c r="H16" s="182">
        <f>SUM(H9:H13)</f>
        <v>4881.6899999999996</v>
      </c>
      <c r="I16" s="182">
        <f>SUM(I9:I13)</f>
        <v>7005.9375000000009</v>
      </c>
      <c r="J16" s="182">
        <f>+J15*12</f>
        <v>0</v>
      </c>
      <c r="K16" s="182">
        <f>+K15*12</f>
        <v>6574.5599999999995</v>
      </c>
      <c r="L16" s="182">
        <f>+L15*12</f>
        <v>28191.119999999995</v>
      </c>
      <c r="M16" s="182">
        <f>+M15*12</f>
        <v>476387.52</v>
      </c>
    </row>
    <row r="17" spans="1:13">
      <c r="A17" s="168" t="s">
        <v>30</v>
      </c>
      <c r="B17" s="143"/>
      <c r="C17" s="143"/>
      <c r="D17" s="143"/>
      <c r="E17" s="169"/>
      <c r="F17" s="143"/>
      <c r="G17" s="143"/>
      <c r="H17" s="143"/>
      <c r="I17" s="143"/>
      <c r="J17" s="143"/>
      <c r="K17" s="143"/>
      <c r="L17" s="143"/>
      <c r="M17" s="143"/>
    </row>
    <row r="18" spans="1:13">
      <c r="A18" s="168" t="s">
        <v>31</v>
      </c>
      <c r="B18" s="143"/>
      <c r="C18" s="143"/>
      <c r="D18" s="143"/>
      <c r="E18" s="169"/>
      <c r="F18" s="143"/>
      <c r="G18" s="143"/>
      <c r="H18" s="143"/>
      <c r="I18" s="143"/>
      <c r="J18" s="143"/>
      <c r="K18" s="143"/>
      <c r="L18" s="169"/>
      <c r="M18" s="143"/>
    </row>
    <row r="19" spans="1:13">
      <c r="A19" s="168" t="s">
        <v>32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168" t="s">
        <v>33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>
      <c r="A21" s="168" t="s">
        <v>34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168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6">
    <mergeCell ref="M6:M7"/>
    <mergeCell ref="A1:M1"/>
    <mergeCell ref="I3:M3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30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15</vt:i4>
      </vt:variant>
    </vt:vector>
  </HeadingPairs>
  <TitlesOfParts>
    <vt:vector size="32" baseType="lpstr">
      <vt:lpstr>01 PRESIDENCIA</vt:lpstr>
      <vt:lpstr>02 REGIDORES</vt:lpstr>
      <vt:lpstr>03 SINDICATURA</vt:lpstr>
      <vt:lpstr>04 TESORERIA</vt:lpstr>
      <vt:lpstr>05 CONTRALORIA</vt:lpstr>
      <vt:lpstr>06 SECRETARIA</vt:lpstr>
      <vt:lpstr>07 OFICIALIA MAYOR</vt:lpstr>
      <vt:lpstr>08 RECURSOS HUMANOS </vt:lpstr>
      <vt:lpstr>09 CULTURA</vt:lpstr>
      <vt:lpstr>10 DIF</vt:lpstr>
      <vt:lpstr>11 OBRAS PUBLICAS</vt:lpstr>
      <vt:lpstr>MEDIO AMBIENTE PROT ANIMAL</vt:lpstr>
      <vt:lpstr>12 SEGURIDAD PUBLICA </vt:lpstr>
      <vt:lpstr>13 BIEN COMUN</vt:lpstr>
      <vt:lpstr>14 INSTANCIA DE LA MUJER</vt:lpstr>
      <vt:lpstr>15 JUVENTUD Y DEPORTE</vt:lpstr>
      <vt:lpstr>16 EDUACION</vt:lpstr>
      <vt:lpstr>'01 PRESIDENCIA'!Área_de_impresión</vt:lpstr>
      <vt:lpstr>'02 REGIDORES'!Área_de_impresión</vt:lpstr>
      <vt:lpstr>'03 SINDICATURA'!Área_de_impresión</vt:lpstr>
      <vt:lpstr>'04 TESORERIA'!Área_de_impresión</vt:lpstr>
      <vt:lpstr>'05 CONTRALORIA'!Área_de_impresión</vt:lpstr>
      <vt:lpstr>'06 SECRETARIA'!Área_de_impresión</vt:lpstr>
      <vt:lpstr>'07 OFICIALIA MAYOR'!Área_de_impresión</vt:lpstr>
      <vt:lpstr>'08 RECURSOS HUMANOS '!Área_de_impresión</vt:lpstr>
      <vt:lpstr>'09 CULTURA'!Área_de_impresión</vt:lpstr>
      <vt:lpstr>'10 DIF'!Área_de_impresión</vt:lpstr>
      <vt:lpstr>'12 SEGURIDAD PUBLICA '!Área_de_impresión</vt:lpstr>
      <vt:lpstr>'13 BIEN COMUN'!Área_de_impresión</vt:lpstr>
      <vt:lpstr>'14 INSTANCIA DE LA MUJER'!Área_de_impresión</vt:lpstr>
      <vt:lpstr>'15 JUVENTUD Y DEPORTE'!Área_de_impresión</vt:lpstr>
      <vt:lpstr>'16 EDUACION'!Área_de_impresión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2026-01-14T19:02:26Z</cp:lastPrinted>
  <dcterms:created xsi:type="dcterms:W3CDTF">2025-12-08T15:50:30Z</dcterms:created>
  <dcterms:modified xsi:type="dcterms:W3CDTF">2026-02-03T16:11:29Z</dcterms:modified>
</cp:coreProperties>
</file>